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EX_SPIMI\BMON\"/>
    </mc:Choice>
  </mc:AlternateContent>
  <xr:revisionPtr revIDLastSave="0" documentId="13_ncr:1_{44BF6D5F-4E57-4AD2-AF71-25AC69DAD0B8}" xr6:coauthVersionLast="47" xr6:coauthVersionMax="47" xr10:uidLastSave="{00000000-0000-0000-0000-000000000000}"/>
  <bookViews>
    <workbookView xWindow="41010" yWindow="2490" windowWidth="29175" windowHeight="15990" tabRatio="632" firstSheet="40" activeTab="43" xr2:uid="{00000000-000D-0000-FFFF-FFFF00000000}"/>
  </bookViews>
  <sheets>
    <sheet name="Oct 2018" sheetId="94" r:id="rId1"/>
    <sheet name="Nov 2018" sheetId="95" r:id="rId2"/>
    <sheet name="Jan 2019" sheetId="96" r:id="rId3"/>
    <sheet name="Feb 2019" sheetId="97" r:id="rId4"/>
    <sheet name="March 2019" sheetId="98" r:id="rId5"/>
    <sheet name="May 2019" sheetId="99" r:id="rId6"/>
    <sheet name="July 2019" sheetId="100" r:id="rId7"/>
    <sheet name="Sept 2019 " sheetId="101" r:id="rId8"/>
    <sheet name="Oct 2019" sheetId="102" r:id="rId9"/>
    <sheet name="Dec 2019" sheetId="103" r:id="rId10"/>
    <sheet name="Jan 2020" sheetId="104" r:id="rId11"/>
    <sheet name="Feb 2020" sheetId="105" r:id="rId12"/>
    <sheet name="Apr 2020 " sheetId="106" r:id="rId13"/>
    <sheet name="May 2020 " sheetId="107" r:id="rId14"/>
    <sheet name="July 2020" sheetId="109" r:id="rId15"/>
    <sheet name="Aug 2020 " sheetId="110" r:id="rId16"/>
    <sheet name="Oct 2020" sheetId="111" r:id="rId17"/>
    <sheet name="Nov 2020" sheetId="112" r:id="rId18"/>
    <sheet name="Jan 2021" sheetId="113" r:id="rId19"/>
    <sheet name="Feb 2021" sheetId="114" r:id="rId20"/>
    <sheet name="Apr 2021 " sheetId="115" r:id="rId21"/>
    <sheet name="May 2021" sheetId="116" r:id="rId22"/>
    <sheet name="July 2021" sheetId="117" r:id="rId23"/>
    <sheet name="Aug 2021" sheetId="118" r:id="rId24"/>
    <sheet name="OCT 2021" sheetId="119" r:id="rId25"/>
    <sheet name="NOV 2021 " sheetId="120" r:id="rId26"/>
    <sheet name="JAN 2022" sheetId="121" r:id="rId27"/>
    <sheet name="MAR 2022 " sheetId="122" r:id="rId28"/>
    <sheet name="APR 2022 " sheetId="123" r:id="rId29"/>
    <sheet name="MAY 2022" sheetId="124" r:id="rId30"/>
    <sheet name="JULY 2022" sheetId="125" r:id="rId31"/>
    <sheet name="AUG 2022 " sheetId="126" r:id="rId32"/>
    <sheet name="OCT 2022" sheetId="127" r:id="rId33"/>
    <sheet name="DEC 2022" sheetId="128" r:id="rId34"/>
    <sheet name="JAN 2023" sheetId="129" r:id="rId35"/>
    <sheet name="MARCH 2023" sheetId="130" r:id="rId36"/>
    <sheet name="APRIL 2023" sheetId="131" r:id="rId37"/>
    <sheet name="MAY 2023" sheetId="132" r:id="rId38"/>
    <sheet name="JULY 2023 " sheetId="133" r:id="rId39"/>
    <sheet name="SEPT 2023 " sheetId="135" r:id="rId40"/>
    <sheet name="OCT 2023" sheetId="134" r:id="rId41"/>
    <sheet name="DEC 2023" sheetId="136" r:id="rId42"/>
    <sheet name="JAN 2024 " sheetId="137" r:id="rId43"/>
    <sheet name="FEB 2024" sheetId="138" r:id="rId44"/>
    <sheet name="Standing Facilities" sheetId="12" r:id="rId45"/>
    <sheet name="Exceed Reserves" sheetId="2" r:id="rId46"/>
  </sheets>
  <definedNames>
    <definedName name="_xlnm.Print_Area" localSheetId="12">'Apr 2020 '!$Q$7:$T$35</definedName>
    <definedName name="_xlnm.Print_Area" localSheetId="20">'Apr 2021 '!$Q$7:$T$35</definedName>
    <definedName name="_xlnm.Print_Area" localSheetId="28">'APR 2022 '!$Q$7:$T$35</definedName>
    <definedName name="_xlnm.Print_Area" localSheetId="36">'APRIL 2023'!$Q$7:$T$35</definedName>
    <definedName name="_xlnm.Print_Area" localSheetId="15">'Aug 2020 '!$Q$7:$T$35</definedName>
    <definedName name="_xlnm.Print_Area" localSheetId="23">'Aug 2021'!$Q$7:$T$35</definedName>
    <definedName name="_xlnm.Print_Area" localSheetId="31">'AUG 2022 '!$Q$7:$T$35</definedName>
    <definedName name="_xlnm.Print_Area" localSheetId="9">'Dec 2019'!$Q$7:$T$35</definedName>
    <definedName name="_xlnm.Print_Area" localSheetId="33">'DEC 2022'!$Q$7:$T$35</definedName>
    <definedName name="_xlnm.Print_Area" localSheetId="41">'DEC 2023'!$Q$7:$T$35</definedName>
    <definedName name="_xlnm.Print_Area" localSheetId="3">'Feb 2019'!$Q$7:$T$35</definedName>
    <definedName name="_xlnm.Print_Area" localSheetId="11">'Feb 2020'!$Q$7:$T$35</definedName>
    <definedName name="_xlnm.Print_Area" localSheetId="19">'Feb 2021'!$Q$7:$T$35</definedName>
    <definedName name="_xlnm.Print_Area" localSheetId="43">'FEB 2024'!$Q$7:$T$35</definedName>
    <definedName name="_xlnm.Print_Area" localSheetId="2">'Jan 2019'!$Q$7:$T$35</definedName>
    <definedName name="_xlnm.Print_Area" localSheetId="10">'Jan 2020'!$Q$7:$T$35</definedName>
    <definedName name="_xlnm.Print_Area" localSheetId="18">'Jan 2021'!$Q$7:$T$35</definedName>
    <definedName name="_xlnm.Print_Area" localSheetId="26">'JAN 2022'!$Q$7:$T$35</definedName>
    <definedName name="_xlnm.Print_Area" localSheetId="34">'JAN 2023'!$Q$7:$T$35</definedName>
    <definedName name="_xlnm.Print_Area" localSheetId="42">'JAN 2024 '!$Q$7:$T$35</definedName>
    <definedName name="_xlnm.Print_Area" localSheetId="6">'July 2019'!$Q$7:$T$35</definedName>
    <definedName name="_xlnm.Print_Area" localSheetId="14">'July 2020'!$Q$7:$T$35</definedName>
    <definedName name="_xlnm.Print_Area" localSheetId="22">'July 2021'!$Q$7:$T$35</definedName>
    <definedName name="_xlnm.Print_Area" localSheetId="30">'JULY 2022'!$Q$7:$T$35</definedName>
    <definedName name="_xlnm.Print_Area" localSheetId="38">'JULY 2023 '!$Q$7:$T$35</definedName>
    <definedName name="_xlnm.Print_Area" localSheetId="27">'MAR 2022 '!$Q$7:$T$35</definedName>
    <definedName name="_xlnm.Print_Area" localSheetId="4">'March 2019'!$Q$7:$T$35</definedName>
    <definedName name="_xlnm.Print_Area" localSheetId="35">'MARCH 2023'!$Q$7:$T$35</definedName>
    <definedName name="_xlnm.Print_Area" localSheetId="5">'May 2019'!$Q$7:$T$35</definedName>
    <definedName name="_xlnm.Print_Area" localSheetId="13">'May 2020 '!$Q$7:$T$35</definedName>
    <definedName name="_xlnm.Print_Area" localSheetId="21">'May 2021'!$Q$7:$T$35</definedName>
    <definedName name="_xlnm.Print_Area" localSheetId="29">'MAY 2022'!$Q$7:$T$35</definedName>
    <definedName name="_xlnm.Print_Area" localSheetId="37">'MAY 2023'!$Q$7:$T$35</definedName>
    <definedName name="_xlnm.Print_Area" localSheetId="1">'Nov 2018'!$Q$7:$T$35</definedName>
    <definedName name="_xlnm.Print_Area" localSheetId="17">'Nov 2020'!$Q$7:$T$35</definedName>
    <definedName name="_xlnm.Print_Area" localSheetId="25">'NOV 2021 '!$Q$7:$T$35</definedName>
    <definedName name="_xlnm.Print_Area" localSheetId="0">'Oct 2018'!$Q$7:$T$35</definedName>
    <definedName name="_xlnm.Print_Area" localSheetId="8">'Oct 2019'!$Q$7:$T$35</definedName>
    <definedName name="_xlnm.Print_Area" localSheetId="16">'Oct 2020'!$Q$7:$T$35</definedName>
    <definedName name="_xlnm.Print_Area" localSheetId="24">'OCT 2021'!$Q$7:$T$35</definedName>
    <definedName name="_xlnm.Print_Area" localSheetId="32">'OCT 2022'!$Q$7:$T$35</definedName>
    <definedName name="_xlnm.Print_Area" localSheetId="40">'OCT 2023'!$Q$7:$T$35</definedName>
    <definedName name="_xlnm.Print_Area" localSheetId="7">'Sept 2019 '!$Q$7:$T$35</definedName>
    <definedName name="_xlnm.Print_Area" localSheetId="39">'SEPT 2023 '!$Q$7:$T$35</definedName>
    <definedName name="_xlnm.Print_Area" localSheetId="44">'Standing Facilities'!$I$218:$K$245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5" i="138" l="1"/>
  <c r="Q15" i="138"/>
  <c r="Q14" i="138" l="1"/>
  <c r="Y13" i="138" l="1"/>
  <c r="Q13" i="138"/>
  <c r="D14" i="138" l="1"/>
  <c r="N12" i="138"/>
  <c r="Q12" i="138" s="1"/>
  <c r="Q11" i="138"/>
  <c r="Q10" i="138"/>
  <c r="K13" i="138"/>
  <c r="K12" i="138"/>
  <c r="G14" i="138"/>
  <c r="Q7" i="138" l="1"/>
  <c r="E238" i="2"/>
  <c r="D238" i="2"/>
  <c r="D7" i="138"/>
  <c r="G55" i="138" l="1"/>
  <c r="G54" i="138"/>
  <c r="G53" i="138"/>
  <c r="G19" i="138"/>
  <c r="G13" i="138"/>
  <c r="N13" i="138" s="1"/>
  <c r="G12" i="138"/>
  <c r="K48" i="138"/>
  <c r="N48" i="138" s="1"/>
  <c r="G48" i="138"/>
  <c r="C48" i="138"/>
  <c r="K47" i="138"/>
  <c r="N47" i="138" s="1"/>
  <c r="G47" i="138"/>
  <c r="C46" i="138"/>
  <c r="C45" i="138"/>
  <c r="K44" i="138"/>
  <c r="G44" i="138"/>
  <c r="C44" i="138"/>
  <c r="K43" i="138"/>
  <c r="G43" i="138"/>
  <c r="N43" i="138" s="1"/>
  <c r="C43" i="138"/>
  <c r="K42" i="138"/>
  <c r="G42" i="138"/>
  <c r="C42" i="138"/>
  <c r="U41" i="138"/>
  <c r="K41" i="138"/>
  <c r="G41" i="138"/>
  <c r="C41" i="138"/>
  <c r="X40" i="138"/>
  <c r="U40" i="138"/>
  <c r="K40" i="138"/>
  <c r="G40" i="138"/>
  <c r="C39" i="138"/>
  <c r="C38" i="138"/>
  <c r="K37" i="138"/>
  <c r="G37" i="138"/>
  <c r="K36" i="138"/>
  <c r="G36" i="138"/>
  <c r="C36" i="138"/>
  <c r="K35" i="138"/>
  <c r="G35" i="138"/>
  <c r="C35" i="138"/>
  <c r="U34" i="138"/>
  <c r="K34" i="138"/>
  <c r="G34" i="138"/>
  <c r="C34" i="138"/>
  <c r="X33" i="138"/>
  <c r="U33" i="138"/>
  <c r="K33" i="138"/>
  <c r="G33" i="138"/>
  <c r="N33" i="138" s="1"/>
  <c r="C33" i="138"/>
  <c r="C32" i="138"/>
  <c r="C31" i="138"/>
  <c r="K30" i="138"/>
  <c r="G30" i="138"/>
  <c r="N30" i="138" s="1"/>
  <c r="C30" i="138"/>
  <c r="K29" i="138"/>
  <c r="G29" i="138"/>
  <c r="C29" i="138"/>
  <c r="K28" i="138"/>
  <c r="G28" i="138"/>
  <c r="C28" i="138"/>
  <c r="U27" i="138"/>
  <c r="K27" i="138"/>
  <c r="G27" i="138"/>
  <c r="C27" i="138"/>
  <c r="X26" i="138"/>
  <c r="U26" i="138"/>
  <c r="K26" i="138"/>
  <c r="G26" i="138"/>
  <c r="C25" i="138"/>
  <c r="C24" i="138"/>
  <c r="K23" i="138"/>
  <c r="N23" i="138" s="1"/>
  <c r="G23" i="138"/>
  <c r="K22" i="138"/>
  <c r="G22" i="138"/>
  <c r="C22" i="138"/>
  <c r="K21" i="138"/>
  <c r="G21" i="138"/>
  <c r="N21" i="138" s="1"/>
  <c r="C21" i="138"/>
  <c r="U20" i="138"/>
  <c r="K20" i="138"/>
  <c r="G20" i="138"/>
  <c r="X19" i="138"/>
  <c r="U19" i="138"/>
  <c r="N19" i="138"/>
  <c r="C18" i="138"/>
  <c r="C17" i="138"/>
  <c r="K16" i="138"/>
  <c r="G16" i="138"/>
  <c r="K15" i="138"/>
  <c r="G15" i="138"/>
  <c r="C15" i="138"/>
  <c r="K14" i="138"/>
  <c r="N14" i="138" s="1"/>
  <c r="U13" i="138"/>
  <c r="X12" i="138"/>
  <c r="U12" i="138"/>
  <c r="C11" i="138"/>
  <c r="K9" i="138"/>
  <c r="G9" i="138"/>
  <c r="C9" i="138"/>
  <c r="U8" i="138"/>
  <c r="K8" i="138"/>
  <c r="G8" i="138"/>
  <c r="X7" i="138"/>
  <c r="U7" i="138"/>
  <c r="S7" i="138"/>
  <c r="R7" i="138" s="1"/>
  <c r="P7" i="138"/>
  <c r="K7" i="138"/>
  <c r="Y7" i="138" s="1"/>
  <c r="G7" i="138"/>
  <c r="C7" i="138"/>
  <c r="Y43" i="137"/>
  <c r="Q43" i="137"/>
  <c r="Q41" i="137"/>
  <c r="D42" i="137"/>
  <c r="N15" i="138" l="1"/>
  <c r="O7" i="138"/>
  <c r="N7" i="138"/>
  <c r="N8" i="138"/>
  <c r="Q8" i="138" s="1"/>
  <c r="N20" i="138"/>
  <c r="N16" i="138"/>
  <c r="N44" i="138"/>
  <c r="N28" i="138"/>
  <c r="N36" i="138"/>
  <c r="N29" i="138"/>
  <c r="N37" i="138"/>
  <c r="N42" i="138"/>
  <c r="N34" i="138"/>
  <c r="N40" i="138"/>
  <c r="N41" i="138"/>
  <c r="N27" i="138"/>
  <c r="N22" i="138"/>
  <c r="N26" i="138"/>
  <c r="N9" i="138"/>
  <c r="N35" i="138"/>
  <c r="Y8" i="138"/>
  <c r="Y9" i="138" s="1"/>
  <c r="Y10" i="138" s="1"/>
  <c r="Y11" i="138" s="1"/>
  <c r="Y12" i="138" s="1"/>
  <c r="Q37" i="137"/>
  <c r="Q36" i="137"/>
  <c r="Q35" i="137"/>
  <c r="D35" i="137"/>
  <c r="Y29" i="137"/>
  <c r="Q29" i="137"/>
  <c r="Q28" i="137"/>
  <c r="Q27" i="137"/>
  <c r="Q9" i="138" l="1"/>
  <c r="S9" i="138"/>
  <c r="R9" i="138" s="1"/>
  <c r="S8" i="138"/>
  <c r="R8" i="138" s="1"/>
  <c r="P8" i="138"/>
  <c r="O8" i="138" s="1"/>
  <c r="Y14" i="138"/>
  <c r="Y16" i="138" s="1"/>
  <c r="Y17" i="138" s="1"/>
  <c r="Y18" i="138" s="1"/>
  <c r="Y19" i="138" s="1"/>
  <c r="Z7" i="138"/>
  <c r="X19" i="137"/>
  <c r="X26" i="137"/>
  <c r="X40" i="137"/>
  <c r="X33" i="137"/>
  <c r="D28" i="137"/>
  <c r="P9" i="138" l="1"/>
  <c r="O9" i="138" s="1"/>
  <c r="Y20" i="138"/>
  <c r="Y21" i="138" s="1"/>
  <c r="Y22" i="138" s="1"/>
  <c r="Y23" i="138" s="1"/>
  <c r="Y24" i="138" s="1"/>
  <c r="Y25" i="138" s="1"/>
  <c r="Y26" i="138" s="1"/>
  <c r="D21" i="137"/>
  <c r="S10" i="138" l="1"/>
  <c r="R10" i="138" s="1"/>
  <c r="P10" i="138"/>
  <c r="O10" i="138" s="1"/>
  <c r="Y27" i="138"/>
  <c r="Y28" i="138" s="1"/>
  <c r="Y29" i="138" s="1"/>
  <c r="Y30" i="138" s="1"/>
  <c r="Y31" i="138" s="1"/>
  <c r="Y32" i="138" s="1"/>
  <c r="Y33" i="138" s="1"/>
  <c r="Z12" i="138"/>
  <c r="S13" i="137"/>
  <c r="D14" i="137"/>
  <c r="D8" i="137"/>
  <c r="E237" i="2"/>
  <c r="D237" i="2"/>
  <c r="D7" i="137"/>
  <c r="S11" i="138" l="1"/>
  <c r="R11" i="138" s="1"/>
  <c r="P11" i="138"/>
  <c r="O11" i="138" s="1"/>
  <c r="Y34" i="138"/>
  <c r="Y35" i="138" s="1"/>
  <c r="Y36" i="138" s="1"/>
  <c r="Y37" i="138" s="1"/>
  <c r="Y38" i="138" s="1"/>
  <c r="Y39" i="138" s="1"/>
  <c r="Y40" i="138" s="1"/>
  <c r="Z19" i="138"/>
  <c r="G14" i="137"/>
  <c r="G20" i="137"/>
  <c r="G55" i="137"/>
  <c r="G54" i="137"/>
  <c r="G53" i="137"/>
  <c r="K48" i="137"/>
  <c r="G48" i="137"/>
  <c r="C48" i="137"/>
  <c r="K47" i="137"/>
  <c r="G47" i="137"/>
  <c r="C46" i="137"/>
  <c r="C45" i="137"/>
  <c r="K44" i="137"/>
  <c r="G44" i="137"/>
  <c r="C44" i="137"/>
  <c r="K43" i="137"/>
  <c r="G43" i="137"/>
  <c r="C43" i="137"/>
  <c r="K42" i="137"/>
  <c r="G42" i="137"/>
  <c r="C42" i="137"/>
  <c r="U41" i="137"/>
  <c r="K41" i="137"/>
  <c r="G41" i="137"/>
  <c r="C41" i="137"/>
  <c r="U40" i="137"/>
  <c r="K40" i="137"/>
  <c r="G40" i="137"/>
  <c r="C39" i="137"/>
  <c r="C38" i="137"/>
  <c r="K37" i="137"/>
  <c r="G37" i="137"/>
  <c r="N37" i="137" s="1"/>
  <c r="K36" i="137"/>
  <c r="G36" i="137"/>
  <c r="C36" i="137"/>
  <c r="K35" i="137"/>
  <c r="G35" i="137"/>
  <c r="C35" i="137"/>
  <c r="U34" i="137"/>
  <c r="K34" i="137"/>
  <c r="G34" i="137"/>
  <c r="C34" i="137"/>
  <c r="U33" i="137"/>
  <c r="K33" i="137"/>
  <c r="G33" i="137"/>
  <c r="C33" i="137"/>
  <c r="C32" i="137"/>
  <c r="C31" i="137"/>
  <c r="K30" i="137"/>
  <c r="G30" i="137"/>
  <c r="C30" i="137"/>
  <c r="K29" i="137"/>
  <c r="G29" i="137"/>
  <c r="C29" i="137"/>
  <c r="K28" i="137"/>
  <c r="G28" i="137"/>
  <c r="C28" i="137"/>
  <c r="U27" i="137"/>
  <c r="K27" i="137"/>
  <c r="G27" i="137"/>
  <c r="C27" i="137"/>
  <c r="U26" i="137"/>
  <c r="K26" i="137"/>
  <c r="G26" i="137"/>
  <c r="C25" i="137"/>
  <c r="C24" i="137"/>
  <c r="K23" i="137"/>
  <c r="G23" i="137"/>
  <c r="K22" i="137"/>
  <c r="G22" i="137"/>
  <c r="C22" i="137"/>
  <c r="K21" i="137"/>
  <c r="G21" i="137"/>
  <c r="C21" i="137"/>
  <c r="U20" i="137"/>
  <c r="K20" i="137"/>
  <c r="U19" i="137"/>
  <c r="C18" i="137"/>
  <c r="C17" i="137"/>
  <c r="K16" i="137"/>
  <c r="G16" i="137"/>
  <c r="K15" i="137"/>
  <c r="G15" i="137"/>
  <c r="C15" i="137"/>
  <c r="K14" i="137"/>
  <c r="U13" i="137"/>
  <c r="X12" i="137"/>
  <c r="U12" i="137"/>
  <c r="C11" i="137"/>
  <c r="K9" i="137"/>
  <c r="G9" i="137"/>
  <c r="C9" i="137"/>
  <c r="U8" i="137"/>
  <c r="K8" i="137"/>
  <c r="G8" i="137"/>
  <c r="X7" i="137"/>
  <c r="U7" i="137"/>
  <c r="K7" i="137"/>
  <c r="C7" i="137"/>
  <c r="D49" i="136"/>
  <c r="S12" i="138" l="1"/>
  <c r="R12" i="138" s="1"/>
  <c r="P12" i="138"/>
  <c r="O12" i="138" s="1"/>
  <c r="S13" i="138"/>
  <c r="R13" i="138" s="1"/>
  <c r="Z26" i="138"/>
  <c r="Y41" i="138"/>
  <c r="Y42" i="138" s="1"/>
  <c r="Y43" i="138" s="1"/>
  <c r="Y44" i="138" s="1"/>
  <c r="Y45" i="138" s="1"/>
  <c r="Y46" i="138" s="1"/>
  <c r="Y47" i="138" s="1"/>
  <c r="Y48" i="138" s="1"/>
  <c r="N33" i="137"/>
  <c r="N16" i="137"/>
  <c r="N28" i="137"/>
  <c r="N20" i="137"/>
  <c r="N23" i="137"/>
  <c r="N27" i="137"/>
  <c r="N8" i="137"/>
  <c r="Y7" i="137"/>
  <c r="Y8" i="137" s="1"/>
  <c r="G7" i="137"/>
  <c r="N7" i="137" s="1"/>
  <c r="N48" i="137"/>
  <c r="N34" i="137"/>
  <c r="N19" i="137"/>
  <c r="N44" i="137"/>
  <c r="N26" i="137"/>
  <c r="N29" i="137"/>
  <c r="N41" i="137"/>
  <c r="N9" i="137"/>
  <c r="N42" i="137"/>
  <c r="N47" i="137"/>
  <c r="N15" i="137"/>
  <c r="N40" i="137"/>
  <c r="N43" i="137"/>
  <c r="N36" i="137"/>
  <c r="N22" i="137"/>
  <c r="N30" i="137"/>
  <c r="N14" i="137"/>
  <c r="N35" i="137"/>
  <c r="N21" i="137"/>
  <c r="Z33" i="138" l="1"/>
  <c r="P13" i="138"/>
  <c r="O13" i="138" s="1"/>
  <c r="Z40" i="138"/>
  <c r="Y9" i="137"/>
  <c r="Y10" i="137" s="1"/>
  <c r="D42" i="136"/>
  <c r="S14" i="138" l="1"/>
  <c r="R14" i="138" s="1"/>
  <c r="S15" i="138"/>
  <c r="R15" i="138" s="1"/>
  <c r="P14" i="138"/>
  <c r="O14" i="138" s="1"/>
  <c r="Y11" i="137"/>
  <c r="Y12" i="137" s="1"/>
  <c r="D36" i="136"/>
  <c r="Q16" i="138" l="1"/>
  <c r="S16" i="138"/>
  <c r="R16" i="138" s="1"/>
  <c r="P15" i="138"/>
  <c r="O15" i="138" s="1"/>
  <c r="Y13" i="137"/>
  <c r="D35" i="136"/>
  <c r="Q17" i="138" l="1"/>
  <c r="P16" i="138"/>
  <c r="O16" i="138" s="1"/>
  <c r="Y14" i="137"/>
  <c r="Y15" i="137" s="1"/>
  <c r="Y16" i="137" s="1"/>
  <c r="Y17" i="137" s="1"/>
  <c r="Y18" i="137" s="1"/>
  <c r="Y19" i="137" s="1"/>
  <c r="Z7" i="137"/>
  <c r="D28" i="136"/>
  <c r="Q18" i="138" l="1"/>
  <c r="S18" i="138" s="1"/>
  <c r="R18" i="138" s="1"/>
  <c r="P17" i="138"/>
  <c r="O17" i="138" s="1"/>
  <c r="S17" i="138"/>
  <c r="R17" i="138" s="1"/>
  <c r="Y20" i="137"/>
  <c r="Y21" i="137" s="1"/>
  <c r="Y22" i="137" s="1"/>
  <c r="Y23" i="137" s="1"/>
  <c r="Y24" i="137" s="1"/>
  <c r="Y25" i="137" s="1"/>
  <c r="Y26" i="137" s="1"/>
  <c r="Z12" i="137"/>
  <c r="D21" i="136"/>
  <c r="D14" i="136"/>
  <c r="G62" i="136"/>
  <c r="G61" i="136"/>
  <c r="G60" i="136"/>
  <c r="K55" i="136"/>
  <c r="K54" i="136"/>
  <c r="K53" i="136"/>
  <c r="K52" i="136"/>
  <c r="K51" i="136"/>
  <c r="K50" i="136"/>
  <c r="K49" i="136"/>
  <c r="K48" i="136"/>
  <c r="K47" i="136"/>
  <c r="K46" i="136"/>
  <c r="K45" i="136"/>
  <c r="K44" i="136"/>
  <c r="K43" i="136"/>
  <c r="K42" i="136"/>
  <c r="K41" i="136"/>
  <c r="K40" i="136"/>
  <c r="K39" i="136"/>
  <c r="K38" i="136"/>
  <c r="K37" i="136"/>
  <c r="K36" i="136"/>
  <c r="K35" i="136"/>
  <c r="K34" i="136"/>
  <c r="K33" i="136"/>
  <c r="K32" i="136"/>
  <c r="K31" i="136"/>
  <c r="K30" i="136"/>
  <c r="K29" i="136"/>
  <c r="K28" i="136"/>
  <c r="K27" i="136"/>
  <c r="K26" i="136"/>
  <c r="K25" i="136"/>
  <c r="K24" i="136"/>
  <c r="K23" i="136"/>
  <c r="K22" i="136"/>
  <c r="K21" i="136"/>
  <c r="K20" i="136"/>
  <c r="K19" i="136"/>
  <c r="K16" i="136"/>
  <c r="K15" i="136"/>
  <c r="K14" i="136"/>
  <c r="K13" i="136"/>
  <c r="K12" i="136"/>
  <c r="K8" i="136"/>
  <c r="K9" i="136"/>
  <c r="K7" i="136"/>
  <c r="D236" i="2"/>
  <c r="D7" i="136"/>
  <c r="Q19" i="138" l="1"/>
  <c r="P18" i="138"/>
  <c r="O18" i="138" s="1"/>
  <c r="Y27" i="137"/>
  <c r="Y28" i="137" s="1"/>
  <c r="Y30" i="137" s="1"/>
  <c r="Y31" i="137" s="1"/>
  <c r="Y32" i="137" s="1"/>
  <c r="Y33" i="137" s="1"/>
  <c r="G54" i="136"/>
  <c r="N54" i="136" s="1"/>
  <c r="X47" i="136"/>
  <c r="U48" i="136"/>
  <c r="U47" i="136"/>
  <c r="G55" i="136"/>
  <c r="N55" i="136" s="1"/>
  <c r="C55" i="136"/>
  <c r="C54" i="136"/>
  <c r="N53" i="136"/>
  <c r="C53" i="136"/>
  <c r="N52" i="136"/>
  <c r="C52" i="136"/>
  <c r="G51" i="136"/>
  <c r="N51" i="136" s="1"/>
  <c r="C51" i="136"/>
  <c r="G50" i="136"/>
  <c r="N50" i="136" s="1"/>
  <c r="C50" i="136"/>
  <c r="G49" i="136"/>
  <c r="N49" i="136" s="1"/>
  <c r="C49" i="136"/>
  <c r="G48" i="136"/>
  <c r="C48" i="136"/>
  <c r="G47" i="136"/>
  <c r="N47" i="136" s="1"/>
  <c r="C46" i="136"/>
  <c r="C45" i="136"/>
  <c r="G44" i="136"/>
  <c r="C44" i="136"/>
  <c r="G43" i="136"/>
  <c r="N43" i="136" s="1"/>
  <c r="C43" i="136"/>
  <c r="G42" i="136"/>
  <c r="C42" i="136"/>
  <c r="U41" i="136"/>
  <c r="G41" i="136"/>
  <c r="C41" i="136"/>
  <c r="X40" i="136"/>
  <c r="U40" i="136"/>
  <c r="G40" i="136"/>
  <c r="C39" i="136"/>
  <c r="C38" i="136"/>
  <c r="G37" i="136"/>
  <c r="N37" i="136" s="1"/>
  <c r="G36" i="136"/>
  <c r="N36" i="136" s="1"/>
  <c r="C36" i="136"/>
  <c r="G35" i="136"/>
  <c r="C35" i="136"/>
  <c r="U34" i="136"/>
  <c r="G34" i="136"/>
  <c r="C34" i="136"/>
  <c r="X33" i="136"/>
  <c r="U33" i="136"/>
  <c r="G33" i="136"/>
  <c r="N33" i="136" s="1"/>
  <c r="C33" i="136"/>
  <c r="C32" i="136"/>
  <c r="C31" i="136"/>
  <c r="G30" i="136"/>
  <c r="C30" i="136"/>
  <c r="G29" i="136"/>
  <c r="N29" i="136" s="1"/>
  <c r="C29" i="136"/>
  <c r="G28" i="136"/>
  <c r="C28" i="136"/>
  <c r="U27" i="136"/>
  <c r="G27" i="136"/>
  <c r="C27" i="136"/>
  <c r="X26" i="136"/>
  <c r="U26" i="136"/>
  <c r="G26" i="136"/>
  <c r="N26" i="136" s="1"/>
  <c r="C25" i="136"/>
  <c r="C24" i="136"/>
  <c r="G23" i="136"/>
  <c r="G22" i="136"/>
  <c r="N22" i="136" s="1"/>
  <c r="C22" i="136"/>
  <c r="G21" i="136"/>
  <c r="N21" i="136" s="1"/>
  <c r="C21" i="136"/>
  <c r="U20" i="136"/>
  <c r="G20" i="136"/>
  <c r="N20" i="136" s="1"/>
  <c r="X19" i="136"/>
  <c r="U19" i="136"/>
  <c r="G19" i="136"/>
  <c r="N19" i="136" s="1"/>
  <c r="C19" i="136"/>
  <c r="C18" i="136"/>
  <c r="C17" i="136"/>
  <c r="G16" i="136"/>
  <c r="G15" i="136"/>
  <c r="C15" i="136"/>
  <c r="G14" i="136"/>
  <c r="U13" i="136"/>
  <c r="G13" i="136"/>
  <c r="N13" i="136" s="1"/>
  <c r="X12" i="136"/>
  <c r="U12" i="136"/>
  <c r="G12" i="136"/>
  <c r="N12" i="136" s="1"/>
  <c r="C11" i="136"/>
  <c r="G9" i="136"/>
  <c r="C9" i="136"/>
  <c r="U8" i="136"/>
  <c r="G8" i="136"/>
  <c r="N8" i="136" s="1"/>
  <c r="X7" i="136"/>
  <c r="U7" i="136"/>
  <c r="Y7" i="136"/>
  <c r="Y8" i="136" s="1"/>
  <c r="G7" i="136"/>
  <c r="N7" i="136" s="1"/>
  <c r="C7" i="136"/>
  <c r="D43" i="134"/>
  <c r="D42" i="134"/>
  <c r="Q20" i="138" l="1"/>
  <c r="S20" i="138" s="1"/>
  <c r="R20" i="138" s="1"/>
  <c r="P19" i="138"/>
  <c r="O19" i="138" s="1"/>
  <c r="S19" i="138"/>
  <c r="R19" i="138" s="1"/>
  <c r="Z19" i="137"/>
  <c r="Y34" i="137"/>
  <c r="Y35" i="137" s="1"/>
  <c r="Y36" i="137" s="1"/>
  <c r="Y37" i="137" s="1"/>
  <c r="Y38" i="137" s="1"/>
  <c r="Y39" i="137" s="1"/>
  <c r="Y40" i="137" s="1"/>
  <c r="Y41" i="137" s="1"/>
  <c r="Y42" i="137" s="1"/>
  <c r="Y44" i="137" s="1"/>
  <c r="Y45" i="137" s="1"/>
  <c r="Y46" i="137" s="1"/>
  <c r="Y47" i="137" s="1"/>
  <c r="Y48" i="137" s="1"/>
  <c r="Z40" i="137" s="1"/>
  <c r="Y9" i="136"/>
  <c r="Y10" i="136" s="1"/>
  <c r="Y11" i="136" s="1"/>
  <c r="Y12" i="136" s="1"/>
  <c r="Y13" i="136" s="1"/>
  <c r="Y14" i="136" s="1"/>
  <c r="Y15" i="136" s="1"/>
  <c r="N35" i="136"/>
  <c r="N44" i="136"/>
  <c r="N15" i="136"/>
  <c r="N28" i="136"/>
  <c r="N16" i="136"/>
  <c r="N41" i="136"/>
  <c r="N34" i="136"/>
  <c r="N9" i="136"/>
  <c r="N27" i="136"/>
  <c r="N30" i="136"/>
  <c r="N40" i="136"/>
  <c r="N48" i="136"/>
  <c r="N14" i="136"/>
  <c r="N23" i="136"/>
  <c r="N42" i="136"/>
  <c r="D35" i="134"/>
  <c r="Q21" i="138" l="1"/>
  <c r="P20" i="138"/>
  <c r="O20" i="138" s="1"/>
  <c r="Z33" i="137"/>
  <c r="Z26" i="137"/>
  <c r="Y16" i="136"/>
  <c r="Y17" i="136" s="1"/>
  <c r="Y18" i="136" s="1"/>
  <c r="Y19" i="136" s="1"/>
  <c r="Y20" i="136" s="1"/>
  <c r="Y21" i="136" s="1"/>
  <c r="Y22" i="136" s="1"/>
  <c r="Z7" i="136"/>
  <c r="D28" i="134"/>
  <c r="Q22" i="138" l="1"/>
  <c r="P21" i="138"/>
  <c r="O21" i="138" s="1"/>
  <c r="S21" i="138"/>
  <c r="R21" i="138" s="1"/>
  <c r="S22" i="138"/>
  <c r="R22" i="138" s="1"/>
  <c r="Y23" i="136"/>
  <c r="Y24" i="136" s="1"/>
  <c r="Y25" i="136" s="1"/>
  <c r="Y26" i="136" s="1"/>
  <c r="Y27" i="136" s="1"/>
  <c r="Y28" i="136" s="1"/>
  <c r="Y29" i="136" s="1"/>
  <c r="Y30" i="136" s="1"/>
  <c r="Y31" i="136" s="1"/>
  <c r="Y32" i="136" s="1"/>
  <c r="Y33" i="136" s="1"/>
  <c r="Z12" i="136"/>
  <c r="Q7" i="134"/>
  <c r="D21" i="134"/>
  <c r="Q23" i="138" l="1"/>
  <c r="S23" i="138"/>
  <c r="R23" i="138" s="1"/>
  <c r="P22" i="138"/>
  <c r="O22" i="138" s="1"/>
  <c r="Z19" i="136"/>
  <c r="Y34" i="136"/>
  <c r="Y35" i="136" s="1"/>
  <c r="Y36" i="136" s="1"/>
  <c r="D15" i="134"/>
  <c r="D14" i="134"/>
  <c r="D7" i="134"/>
  <c r="E234" i="2"/>
  <c r="D234" i="2"/>
  <c r="D235" i="2"/>
  <c r="Q24" i="138" l="1"/>
  <c r="S24" i="138" s="1"/>
  <c r="R24" i="138" s="1"/>
  <c r="P23" i="138"/>
  <c r="O23" i="138" s="1"/>
  <c r="Y37" i="136"/>
  <c r="Y38" i="136" s="1"/>
  <c r="Y39" i="136" s="1"/>
  <c r="Y40" i="136" s="1"/>
  <c r="Y41" i="136" s="1"/>
  <c r="Y42" i="136" s="1"/>
  <c r="Y43" i="136" s="1"/>
  <c r="Z26" i="136"/>
  <c r="W52" i="135"/>
  <c r="W53" i="135"/>
  <c r="W51" i="135"/>
  <c r="Q25" i="138" l="1"/>
  <c r="S25" i="138" s="1"/>
  <c r="R25" i="138" s="1"/>
  <c r="P24" i="138"/>
  <c r="O24" i="138" s="1"/>
  <c r="Y44" i="136"/>
  <c r="Y45" i="136" s="1"/>
  <c r="Y46" i="136" s="1"/>
  <c r="Y47" i="136" s="1"/>
  <c r="Y48" i="136" s="1"/>
  <c r="Y49" i="136" s="1"/>
  <c r="Z33" i="136"/>
  <c r="G55" i="134"/>
  <c r="G54" i="134"/>
  <c r="G53" i="134"/>
  <c r="K12" i="134"/>
  <c r="K8" i="134"/>
  <c r="K9" i="134"/>
  <c r="G62" i="135"/>
  <c r="G61" i="135"/>
  <c r="G60" i="135"/>
  <c r="G59" i="135"/>
  <c r="K55" i="135"/>
  <c r="G55" i="135"/>
  <c r="C55" i="135"/>
  <c r="K54" i="135"/>
  <c r="G54" i="135"/>
  <c r="C54" i="135"/>
  <c r="K53" i="135"/>
  <c r="C53" i="135"/>
  <c r="K52" i="135"/>
  <c r="C52" i="135"/>
  <c r="K51" i="135"/>
  <c r="G51" i="135"/>
  <c r="C51" i="135"/>
  <c r="K50" i="135"/>
  <c r="G50" i="135"/>
  <c r="C50" i="135"/>
  <c r="K49" i="135"/>
  <c r="G49" i="135"/>
  <c r="D49" i="135"/>
  <c r="C49" i="135"/>
  <c r="U48" i="135"/>
  <c r="K48" i="135"/>
  <c r="N48" i="135" s="1"/>
  <c r="G48" i="135"/>
  <c r="C48" i="135"/>
  <c r="X47" i="135"/>
  <c r="U47" i="135"/>
  <c r="K47" i="135"/>
  <c r="N47" i="135" s="1"/>
  <c r="G47" i="135"/>
  <c r="C46" i="135"/>
  <c r="C45" i="135"/>
  <c r="K44" i="135"/>
  <c r="N44" i="135" s="1"/>
  <c r="G44" i="135"/>
  <c r="C44" i="135"/>
  <c r="K43" i="135"/>
  <c r="N43" i="135" s="1"/>
  <c r="G43" i="135"/>
  <c r="C43" i="135"/>
  <c r="K42" i="135"/>
  <c r="N42" i="135" s="1"/>
  <c r="G42" i="135"/>
  <c r="D42" i="135"/>
  <c r="C42" i="135"/>
  <c r="U41" i="135"/>
  <c r="K41" i="135"/>
  <c r="N41" i="135" s="1"/>
  <c r="G41" i="135"/>
  <c r="C41" i="135"/>
  <c r="X40" i="135"/>
  <c r="U40" i="135"/>
  <c r="N40" i="135"/>
  <c r="K40" i="135"/>
  <c r="G40" i="135"/>
  <c r="C39" i="135"/>
  <c r="C38" i="135"/>
  <c r="K37" i="135"/>
  <c r="N37" i="135" s="1"/>
  <c r="G37" i="135"/>
  <c r="K36" i="135"/>
  <c r="G36" i="135"/>
  <c r="N36" i="135" s="1"/>
  <c r="D36" i="135"/>
  <c r="C36" i="135"/>
  <c r="K35" i="135"/>
  <c r="D35" i="135"/>
  <c r="G35" i="135" s="1"/>
  <c r="N35" i="135" s="1"/>
  <c r="C35" i="135"/>
  <c r="U34" i="135"/>
  <c r="N34" i="135"/>
  <c r="K34" i="135"/>
  <c r="G34" i="135"/>
  <c r="C34" i="135"/>
  <c r="X33" i="135"/>
  <c r="U33" i="135"/>
  <c r="K33" i="135"/>
  <c r="G33" i="135"/>
  <c r="N33" i="135" s="1"/>
  <c r="C33" i="135"/>
  <c r="C32" i="135"/>
  <c r="C31" i="135"/>
  <c r="K30" i="135"/>
  <c r="G30" i="135"/>
  <c r="N30" i="135" s="1"/>
  <c r="C30" i="135"/>
  <c r="K29" i="135"/>
  <c r="N29" i="135" s="1"/>
  <c r="G29" i="135"/>
  <c r="C29" i="135"/>
  <c r="K28" i="135"/>
  <c r="N28" i="135" s="1"/>
  <c r="D28" i="135"/>
  <c r="G28" i="135" s="1"/>
  <c r="C28" i="135"/>
  <c r="U27" i="135"/>
  <c r="K27" i="135"/>
  <c r="N27" i="135" s="1"/>
  <c r="G27" i="135"/>
  <c r="C27" i="135"/>
  <c r="X26" i="135"/>
  <c r="U26" i="135"/>
  <c r="K26" i="135"/>
  <c r="G26" i="135"/>
  <c r="C25" i="135"/>
  <c r="C24" i="135"/>
  <c r="K23" i="135"/>
  <c r="N23" i="135" s="1"/>
  <c r="G23" i="135"/>
  <c r="N22" i="135"/>
  <c r="K22" i="135"/>
  <c r="G22" i="135"/>
  <c r="C22" i="135"/>
  <c r="K21" i="135"/>
  <c r="N21" i="135" s="1"/>
  <c r="G21" i="135"/>
  <c r="D21" i="135"/>
  <c r="C21" i="135"/>
  <c r="U20" i="135"/>
  <c r="K20" i="135"/>
  <c r="N20" i="135" s="1"/>
  <c r="G20" i="135"/>
  <c r="X19" i="135"/>
  <c r="U19" i="135"/>
  <c r="K19" i="135"/>
  <c r="N19" i="135" s="1"/>
  <c r="G19" i="135"/>
  <c r="C19" i="135"/>
  <c r="C18" i="135"/>
  <c r="C17" i="135"/>
  <c r="K16" i="135"/>
  <c r="N16" i="135" s="1"/>
  <c r="G16" i="135"/>
  <c r="K15" i="135"/>
  <c r="G15" i="135"/>
  <c r="N15" i="135" s="1"/>
  <c r="C15" i="135"/>
  <c r="K14" i="135"/>
  <c r="N14" i="135" s="1"/>
  <c r="G14" i="135"/>
  <c r="D14" i="135"/>
  <c r="U13" i="135"/>
  <c r="K13" i="135"/>
  <c r="G13" i="135"/>
  <c r="N13" i="135" s="1"/>
  <c r="X12" i="135"/>
  <c r="U12" i="135"/>
  <c r="N12" i="135"/>
  <c r="G12" i="135"/>
  <c r="C11" i="135"/>
  <c r="N9" i="135"/>
  <c r="G9" i="135"/>
  <c r="C9" i="135"/>
  <c r="Y8" i="135"/>
  <c r="Y9" i="135" s="1"/>
  <c r="Y10" i="135" s="1"/>
  <c r="Y11" i="135" s="1"/>
  <c r="Y12" i="135" s="1"/>
  <c r="U8" i="135"/>
  <c r="K8" i="135"/>
  <c r="N8" i="135" s="1"/>
  <c r="G8" i="135"/>
  <c r="Y7" i="135"/>
  <c r="X7" i="135"/>
  <c r="U7" i="135"/>
  <c r="K7" i="135"/>
  <c r="N7" i="135" s="1"/>
  <c r="Q7" i="135" s="1"/>
  <c r="G7" i="135"/>
  <c r="D7" i="135"/>
  <c r="C7" i="135"/>
  <c r="Q26" i="138" l="1"/>
  <c r="S26" i="138" s="1"/>
  <c r="R26" i="138" s="1"/>
  <c r="P25" i="138"/>
  <c r="O25" i="138" s="1"/>
  <c r="Y50" i="136"/>
  <c r="Y51" i="136" s="1"/>
  <c r="Z40" i="136"/>
  <c r="N26" i="135"/>
  <c r="N55" i="135"/>
  <c r="N54" i="135"/>
  <c r="N51" i="135"/>
  <c r="N50" i="135"/>
  <c r="N49" i="135"/>
  <c r="Z7" i="135"/>
  <c r="Y13" i="135"/>
  <c r="Y14" i="135" s="1"/>
  <c r="Y15" i="135" s="1"/>
  <c r="Y16" i="135" s="1"/>
  <c r="Y17" i="135" s="1"/>
  <c r="Y18" i="135" s="1"/>
  <c r="Y19" i="135" s="1"/>
  <c r="Q8" i="135"/>
  <c r="P7" i="135"/>
  <c r="O7" i="135" s="1"/>
  <c r="S8" i="135"/>
  <c r="R8" i="135" s="1"/>
  <c r="S7" i="135"/>
  <c r="R7" i="135" s="1"/>
  <c r="Q27" i="138" l="1"/>
  <c r="S27" i="138" s="1"/>
  <c r="R27" i="138" s="1"/>
  <c r="P26" i="138"/>
  <c r="O26" i="138" s="1"/>
  <c r="Y52" i="136"/>
  <c r="Y53" i="136" s="1"/>
  <c r="Y54" i="136" s="1"/>
  <c r="Y55" i="136" s="1"/>
  <c r="P8" i="135"/>
  <c r="O8" i="135" s="1"/>
  <c r="Q9" i="135"/>
  <c r="Z12" i="135"/>
  <c r="Y20" i="135"/>
  <c r="Y21" i="135" s="1"/>
  <c r="Y22" i="135" s="1"/>
  <c r="Y23" i="135" s="1"/>
  <c r="Y24" i="135" s="1"/>
  <c r="Y25" i="135" s="1"/>
  <c r="Y26" i="135" s="1"/>
  <c r="Q28" i="138" l="1"/>
  <c r="S28" i="138" s="1"/>
  <c r="R28" i="138" s="1"/>
  <c r="P27" i="138"/>
  <c r="O27" i="138" s="1"/>
  <c r="Z47" i="136"/>
  <c r="S9" i="135"/>
  <c r="R9" i="135" s="1"/>
  <c r="Y27" i="135"/>
  <c r="Y28" i="135" s="1"/>
  <c r="Y29" i="135" s="1"/>
  <c r="Y30" i="135" s="1"/>
  <c r="Y31" i="135" s="1"/>
  <c r="Y32" i="135" s="1"/>
  <c r="Y33" i="135" s="1"/>
  <c r="Q10" i="135"/>
  <c r="P9" i="135"/>
  <c r="O9" i="135" s="1"/>
  <c r="S10" i="135"/>
  <c r="R10" i="135" s="1"/>
  <c r="Z19" i="135"/>
  <c r="Q29" i="138" l="1"/>
  <c r="S29" i="138" s="1"/>
  <c r="R29" i="138" s="1"/>
  <c r="P28" i="138"/>
  <c r="O28" i="138" s="1"/>
  <c r="Q11" i="135"/>
  <c r="P10" i="135"/>
  <c r="O10" i="135" s="1"/>
  <c r="Y34" i="135"/>
  <c r="Y35" i="135" s="1"/>
  <c r="Y36" i="135" s="1"/>
  <c r="Y37" i="135" s="1"/>
  <c r="Y38" i="135" s="1"/>
  <c r="Y39" i="135" s="1"/>
  <c r="Y40" i="135" s="1"/>
  <c r="S11" i="135"/>
  <c r="R11" i="135" s="1"/>
  <c r="Q30" i="138" l="1"/>
  <c r="S30" i="138" s="1"/>
  <c r="R30" i="138" s="1"/>
  <c r="P29" i="138"/>
  <c r="O29" i="138" s="1"/>
  <c r="Y41" i="135"/>
  <c r="Y42" i="135" s="1"/>
  <c r="Y43" i="135" s="1"/>
  <c r="Y44" i="135" s="1"/>
  <c r="Y45" i="135" s="1"/>
  <c r="Y46" i="135" s="1"/>
  <c r="Y47" i="135" s="1"/>
  <c r="Z26" i="135"/>
  <c r="P11" i="135"/>
  <c r="O11" i="135" s="1"/>
  <c r="Q12" i="135"/>
  <c r="Q31" i="138" l="1"/>
  <c r="S31" i="138" s="1"/>
  <c r="R31" i="138" s="1"/>
  <c r="P30" i="138"/>
  <c r="O30" i="138" s="1"/>
  <c r="Z33" i="135"/>
  <c r="Y48" i="135"/>
  <c r="Y49" i="135" s="1"/>
  <c r="Q13" i="135"/>
  <c r="P12" i="135"/>
  <c r="O12" i="135" s="1"/>
  <c r="S12" i="135"/>
  <c r="R12" i="135" s="1"/>
  <c r="G26" i="134"/>
  <c r="G23" i="134"/>
  <c r="K19" i="134"/>
  <c r="U13" i="134"/>
  <c r="G48" i="133"/>
  <c r="K48" i="133"/>
  <c r="D43" i="133"/>
  <c r="D42" i="133"/>
  <c r="Q32" i="138" l="1"/>
  <c r="S32" i="138" s="1"/>
  <c r="R32" i="138" s="1"/>
  <c r="P31" i="138"/>
  <c r="O31" i="138" s="1"/>
  <c r="Y50" i="135"/>
  <c r="Y51" i="135" s="1"/>
  <c r="Y52" i="135" s="1"/>
  <c r="Y53" i="135" s="1"/>
  <c r="Y54" i="135" s="1"/>
  <c r="Y55" i="135" s="1"/>
  <c r="Z47" i="135"/>
  <c r="Z40" i="135"/>
  <c r="Q14" i="135"/>
  <c r="P13" i="135"/>
  <c r="O13" i="135" s="1"/>
  <c r="S14" i="135"/>
  <c r="R14" i="135" s="1"/>
  <c r="S13" i="135"/>
  <c r="R13" i="135" s="1"/>
  <c r="G47" i="134"/>
  <c r="G48" i="134"/>
  <c r="K48" i="134"/>
  <c r="C48" i="134"/>
  <c r="K47" i="134"/>
  <c r="C46" i="134"/>
  <c r="C45" i="134"/>
  <c r="K44" i="134"/>
  <c r="G44" i="134"/>
  <c r="C44" i="134"/>
  <c r="K43" i="134"/>
  <c r="G43" i="134"/>
  <c r="C43" i="134"/>
  <c r="K42" i="134"/>
  <c r="G42" i="134"/>
  <c r="C42" i="134"/>
  <c r="U41" i="134"/>
  <c r="K41" i="134"/>
  <c r="G41" i="134"/>
  <c r="C41" i="134"/>
  <c r="X40" i="134"/>
  <c r="U40" i="134"/>
  <c r="K40" i="134"/>
  <c r="G40" i="134"/>
  <c r="C39" i="134"/>
  <c r="C38" i="134"/>
  <c r="K37" i="134"/>
  <c r="G37" i="134"/>
  <c r="K36" i="134"/>
  <c r="G36" i="134"/>
  <c r="C36" i="134"/>
  <c r="K35" i="134"/>
  <c r="G35" i="134"/>
  <c r="C35" i="134"/>
  <c r="U34" i="134"/>
  <c r="K34" i="134"/>
  <c r="G34" i="134"/>
  <c r="C34" i="134"/>
  <c r="X33" i="134"/>
  <c r="U33" i="134"/>
  <c r="K33" i="134"/>
  <c r="G33" i="134"/>
  <c r="C33" i="134"/>
  <c r="C32" i="134"/>
  <c r="C31" i="134"/>
  <c r="K30" i="134"/>
  <c r="G30" i="134"/>
  <c r="C30" i="134"/>
  <c r="K29" i="134"/>
  <c r="G29" i="134"/>
  <c r="C29" i="134"/>
  <c r="K28" i="134"/>
  <c r="G28" i="134"/>
  <c r="C28" i="134"/>
  <c r="U27" i="134"/>
  <c r="K27" i="134"/>
  <c r="G27" i="134"/>
  <c r="C27" i="134"/>
  <c r="X26" i="134"/>
  <c r="U26" i="134"/>
  <c r="K26" i="134"/>
  <c r="C25" i="134"/>
  <c r="C24" i="134"/>
  <c r="K23" i="134"/>
  <c r="K22" i="134"/>
  <c r="G22" i="134"/>
  <c r="C22" i="134"/>
  <c r="K21" i="134"/>
  <c r="G21" i="134"/>
  <c r="C21" i="134"/>
  <c r="U20" i="134"/>
  <c r="K20" i="134"/>
  <c r="G20" i="134"/>
  <c r="X19" i="134"/>
  <c r="U19" i="134"/>
  <c r="G19" i="134"/>
  <c r="C19" i="134"/>
  <c r="C18" i="134"/>
  <c r="C17" i="134"/>
  <c r="K16" i="134"/>
  <c r="G16" i="134"/>
  <c r="K15" i="134"/>
  <c r="G15" i="134"/>
  <c r="C15" i="134"/>
  <c r="K14" i="134"/>
  <c r="G14" i="134"/>
  <c r="K13" i="134"/>
  <c r="G13" i="134"/>
  <c r="X12" i="134"/>
  <c r="U12" i="134"/>
  <c r="G12" i="134"/>
  <c r="C11" i="134"/>
  <c r="G9" i="134"/>
  <c r="C9" i="134"/>
  <c r="U8" i="134"/>
  <c r="G8" i="134"/>
  <c r="X7" i="134"/>
  <c r="U7" i="134"/>
  <c r="K7" i="134"/>
  <c r="Y7" i="134" s="1"/>
  <c r="C7" i="134"/>
  <c r="Q33" i="138" l="1"/>
  <c r="S33" i="138" s="1"/>
  <c r="R33" i="138" s="1"/>
  <c r="P32" i="138"/>
  <c r="O32" i="138" s="1"/>
  <c r="P14" i="135"/>
  <c r="O14" i="135" s="1"/>
  <c r="Q15" i="135"/>
  <c r="N27" i="134"/>
  <c r="N37" i="134"/>
  <c r="N33" i="134"/>
  <c r="N35" i="134"/>
  <c r="N20" i="134"/>
  <c r="N14" i="134"/>
  <c r="Y8" i="134"/>
  <c r="Y9" i="134" s="1"/>
  <c r="N48" i="134"/>
  <c r="N40" i="134"/>
  <c r="N34" i="134"/>
  <c r="N16" i="134"/>
  <c r="N36" i="134"/>
  <c r="N19" i="134"/>
  <c r="N44" i="134"/>
  <c r="N9" i="134"/>
  <c r="N15" i="134"/>
  <c r="N23" i="134"/>
  <c r="N41" i="134"/>
  <c r="G7" i="134"/>
  <c r="N7" i="134" s="1"/>
  <c r="N47" i="134"/>
  <c r="N12" i="134"/>
  <c r="N26" i="134"/>
  <c r="N29" i="134"/>
  <c r="N42" i="134"/>
  <c r="N22" i="134"/>
  <c r="N21" i="134"/>
  <c r="N30" i="134"/>
  <c r="N43" i="134"/>
  <c r="N13" i="134"/>
  <c r="N8" i="134"/>
  <c r="N28" i="134"/>
  <c r="Q34" i="138" l="1"/>
  <c r="P33" i="138"/>
  <c r="O33" i="138" s="1"/>
  <c r="S34" i="138"/>
  <c r="R34" i="138" s="1"/>
  <c r="P15" i="135"/>
  <c r="O15" i="135" s="1"/>
  <c r="Q16" i="135"/>
  <c r="S15" i="135"/>
  <c r="R15" i="135" s="1"/>
  <c r="S16" i="135"/>
  <c r="R16" i="135" s="1"/>
  <c r="Y10" i="134"/>
  <c r="Y11" i="134" s="1"/>
  <c r="Y12" i="134" s="1"/>
  <c r="D35" i="133"/>
  <c r="Q35" i="138" l="1"/>
  <c r="S35" i="138" s="1"/>
  <c r="R35" i="138" s="1"/>
  <c r="P34" i="138"/>
  <c r="O34" i="138" s="1"/>
  <c r="P16" i="135"/>
  <c r="O16" i="135" s="1"/>
  <c r="Q17" i="135"/>
  <c r="Y13" i="134"/>
  <c r="Y14" i="134" s="1"/>
  <c r="Z7" i="134"/>
  <c r="Q36" i="138" l="1"/>
  <c r="S36" i="138" s="1"/>
  <c r="R36" i="138" s="1"/>
  <c r="P35" i="138"/>
  <c r="O35" i="138" s="1"/>
  <c r="P17" i="135"/>
  <c r="O17" i="135" s="1"/>
  <c r="Q18" i="135"/>
  <c r="S17" i="135"/>
  <c r="R17" i="135" s="1"/>
  <c r="Y15" i="134"/>
  <c r="Y16" i="134" s="1"/>
  <c r="D28" i="133"/>
  <c r="Q37" i="138" l="1"/>
  <c r="P36" i="138"/>
  <c r="O36" i="138" s="1"/>
  <c r="S37" i="138"/>
  <c r="R37" i="138" s="1"/>
  <c r="P18" i="135"/>
  <c r="O18" i="135" s="1"/>
  <c r="Q19" i="135"/>
  <c r="S18" i="135"/>
  <c r="R18" i="135" s="1"/>
  <c r="Y17" i="134"/>
  <c r="Y18" i="134" s="1"/>
  <c r="Y19" i="134" s="1"/>
  <c r="D21" i="133"/>
  <c r="Q38" i="138" l="1"/>
  <c r="S38" i="138" s="1"/>
  <c r="R38" i="138" s="1"/>
  <c r="P37" i="138"/>
  <c r="O37" i="138" s="1"/>
  <c r="Y20" i="134"/>
  <c r="Y21" i="134" s="1"/>
  <c r="Y22" i="134" s="1"/>
  <c r="P19" i="135"/>
  <c r="O19" i="135" s="1"/>
  <c r="Q20" i="135"/>
  <c r="S19" i="135"/>
  <c r="R19" i="135" s="1"/>
  <c r="D15" i="133"/>
  <c r="Q39" i="138" l="1"/>
  <c r="S39" i="138"/>
  <c r="R39" i="138" s="1"/>
  <c r="P38" i="138"/>
  <c r="O38" i="138" s="1"/>
  <c r="Z12" i="134"/>
  <c r="Y23" i="134"/>
  <c r="Y24" i="134" s="1"/>
  <c r="Y25" i="134" s="1"/>
  <c r="Y26" i="134" s="1"/>
  <c r="Y27" i="134" s="1"/>
  <c r="Y28" i="134" s="1"/>
  <c r="Y29" i="134" s="1"/>
  <c r="Y30" i="134" s="1"/>
  <c r="Y31" i="134" s="1"/>
  <c r="Y32" i="134" s="1"/>
  <c r="Y33" i="134" s="1"/>
  <c r="P20" i="135"/>
  <c r="O20" i="135" s="1"/>
  <c r="Q21" i="135"/>
  <c r="S20" i="135"/>
  <c r="R20" i="135" s="1"/>
  <c r="D14" i="133"/>
  <c r="Q40" i="138" l="1"/>
  <c r="S40" i="138" s="1"/>
  <c r="R40" i="138" s="1"/>
  <c r="P39" i="138"/>
  <c r="O39" i="138" s="1"/>
  <c r="Z19" i="134"/>
  <c r="P21" i="135"/>
  <c r="O21" i="135" s="1"/>
  <c r="Q22" i="135"/>
  <c r="S21" i="135"/>
  <c r="R21" i="135" s="1"/>
  <c r="Y34" i="134"/>
  <c r="Y35" i="134" s="1"/>
  <c r="Y36" i="134" s="1"/>
  <c r="E233" i="2"/>
  <c r="D233" i="2"/>
  <c r="G48" i="132"/>
  <c r="Q41" i="138" l="1"/>
  <c r="S41" i="138" s="1"/>
  <c r="R41" i="138" s="1"/>
  <c r="P40" i="138"/>
  <c r="O40" i="138" s="1"/>
  <c r="Y37" i="134"/>
  <c r="Y38" i="134" s="1"/>
  <c r="Y39" i="134" s="1"/>
  <c r="Y40" i="134" s="1"/>
  <c r="Y41" i="134" s="1"/>
  <c r="Y42" i="134" s="1"/>
  <c r="Y43" i="134" s="1"/>
  <c r="Y44" i="134" s="1"/>
  <c r="P22" i="135"/>
  <c r="O22" i="135" s="1"/>
  <c r="Q23" i="135"/>
  <c r="S22" i="135"/>
  <c r="R22" i="135" s="1"/>
  <c r="Z26" i="134"/>
  <c r="D7" i="133"/>
  <c r="Q42" i="138" l="1"/>
  <c r="S42" i="138" s="1"/>
  <c r="R42" i="138" s="1"/>
  <c r="P41" i="138"/>
  <c r="O41" i="138" s="1"/>
  <c r="Y45" i="134"/>
  <c r="Y46" i="134" s="1"/>
  <c r="Y47" i="134" s="1"/>
  <c r="Y48" i="134" s="1"/>
  <c r="P23" i="135"/>
  <c r="O23" i="135" s="1"/>
  <c r="Q24" i="135"/>
  <c r="S23" i="135"/>
  <c r="R23" i="135" s="1"/>
  <c r="Z33" i="134"/>
  <c r="G55" i="133"/>
  <c r="G54" i="133"/>
  <c r="G53" i="133"/>
  <c r="C48" i="133"/>
  <c r="K47" i="133"/>
  <c r="G47" i="133"/>
  <c r="C46" i="133"/>
  <c r="C45" i="133"/>
  <c r="K44" i="133"/>
  <c r="N44" i="133" s="1"/>
  <c r="G44" i="133"/>
  <c r="C44" i="133"/>
  <c r="K43" i="133"/>
  <c r="G43" i="133"/>
  <c r="C43" i="133"/>
  <c r="K42" i="133"/>
  <c r="G42" i="133"/>
  <c r="C42" i="133"/>
  <c r="U41" i="133"/>
  <c r="K41" i="133"/>
  <c r="G41" i="133"/>
  <c r="C41" i="133"/>
  <c r="X40" i="133"/>
  <c r="U40" i="133"/>
  <c r="K40" i="133"/>
  <c r="G40" i="133"/>
  <c r="C39" i="133"/>
  <c r="C38" i="133"/>
  <c r="K37" i="133"/>
  <c r="G37" i="133"/>
  <c r="K36" i="133"/>
  <c r="G36" i="133"/>
  <c r="C36" i="133"/>
  <c r="K35" i="133"/>
  <c r="G35" i="133"/>
  <c r="C35" i="133"/>
  <c r="U34" i="133"/>
  <c r="K34" i="133"/>
  <c r="G34" i="133"/>
  <c r="C34" i="133"/>
  <c r="X33" i="133"/>
  <c r="U33" i="133"/>
  <c r="K33" i="133"/>
  <c r="G33" i="133"/>
  <c r="C33" i="133"/>
  <c r="C32" i="133"/>
  <c r="C31" i="133"/>
  <c r="K30" i="133"/>
  <c r="G30" i="133"/>
  <c r="C30" i="133"/>
  <c r="K29" i="133"/>
  <c r="G29" i="133"/>
  <c r="C29" i="133"/>
  <c r="K28" i="133"/>
  <c r="G28" i="133"/>
  <c r="C28" i="133"/>
  <c r="U27" i="133"/>
  <c r="K27" i="133"/>
  <c r="G27" i="133"/>
  <c r="C27" i="133"/>
  <c r="X26" i="133"/>
  <c r="U26" i="133"/>
  <c r="K26" i="133"/>
  <c r="G26" i="133"/>
  <c r="C25" i="133"/>
  <c r="C24" i="133"/>
  <c r="K23" i="133"/>
  <c r="G23" i="133"/>
  <c r="K22" i="133"/>
  <c r="G22" i="133"/>
  <c r="C22" i="133"/>
  <c r="K21" i="133"/>
  <c r="G21" i="133"/>
  <c r="C21" i="133"/>
  <c r="U20" i="133"/>
  <c r="K20" i="133"/>
  <c r="G20" i="133"/>
  <c r="X19" i="133"/>
  <c r="U19" i="133"/>
  <c r="K19" i="133"/>
  <c r="G19" i="133"/>
  <c r="C19" i="133"/>
  <c r="C18" i="133"/>
  <c r="C17" i="133"/>
  <c r="K16" i="133"/>
  <c r="G16" i="133"/>
  <c r="K15" i="133"/>
  <c r="G15" i="133"/>
  <c r="C15" i="133"/>
  <c r="K14" i="133"/>
  <c r="G14" i="133"/>
  <c r="U13" i="133"/>
  <c r="K13" i="133"/>
  <c r="G13" i="133"/>
  <c r="X12" i="133"/>
  <c r="U12" i="133"/>
  <c r="K12" i="133"/>
  <c r="G12" i="133"/>
  <c r="C11" i="133"/>
  <c r="K9" i="133"/>
  <c r="G9" i="133"/>
  <c r="C9" i="133"/>
  <c r="U8" i="133"/>
  <c r="K8" i="133"/>
  <c r="G8" i="133"/>
  <c r="X7" i="133"/>
  <c r="U7" i="133"/>
  <c r="K7" i="133"/>
  <c r="Y7" i="133" s="1"/>
  <c r="G7" i="133"/>
  <c r="C7" i="133"/>
  <c r="Q43" i="138" l="1"/>
  <c r="S43" i="138" s="1"/>
  <c r="R43" i="138" s="1"/>
  <c r="P42" i="138"/>
  <c r="O42" i="138" s="1"/>
  <c r="Q25" i="135"/>
  <c r="P24" i="135"/>
  <c r="O24" i="135" s="1"/>
  <c r="S24" i="135"/>
  <c r="R24" i="135" s="1"/>
  <c r="Z40" i="134"/>
  <c r="N47" i="133"/>
  <c r="N48" i="133"/>
  <c r="N43" i="133"/>
  <c r="N35" i="133"/>
  <c r="N42" i="133"/>
  <c r="N36" i="133"/>
  <c r="N34" i="133"/>
  <c r="N29" i="133"/>
  <c r="N26" i="133"/>
  <c r="Y8" i="133"/>
  <c r="Y9" i="133" s="1"/>
  <c r="Y10" i="133" s="1"/>
  <c r="Y11" i="133" s="1"/>
  <c r="Y12" i="133" s="1"/>
  <c r="N22" i="133"/>
  <c r="N28" i="133"/>
  <c r="N20" i="133"/>
  <c r="N19" i="133"/>
  <c r="N8" i="133"/>
  <c r="N15" i="133"/>
  <c r="N13" i="133"/>
  <c r="N7" i="133"/>
  <c r="N12" i="133"/>
  <c r="N16" i="133"/>
  <c r="N41" i="133"/>
  <c r="N37" i="133"/>
  <c r="N21" i="133"/>
  <c r="N30" i="133"/>
  <c r="N27" i="133"/>
  <c r="N40" i="133"/>
  <c r="N9" i="133"/>
  <c r="N23" i="133"/>
  <c r="N33" i="133"/>
  <c r="N14" i="133"/>
  <c r="D42" i="132"/>
  <c r="Q44" i="138" l="1"/>
  <c r="S44" i="138" s="1"/>
  <c r="R44" i="138" s="1"/>
  <c r="P43" i="138"/>
  <c r="O43" i="138" s="1"/>
  <c r="P25" i="135"/>
  <c r="O25" i="135" s="1"/>
  <c r="Q26" i="135"/>
  <c r="S25" i="135"/>
  <c r="R25" i="135" s="1"/>
  <c r="Y13" i="133"/>
  <c r="Y14" i="133" s="1"/>
  <c r="Y15" i="133" s="1"/>
  <c r="Y16" i="133" s="1"/>
  <c r="Y17" i="133" s="1"/>
  <c r="Y18" i="133" s="1"/>
  <c r="Y19" i="133" s="1"/>
  <c r="Z7" i="133"/>
  <c r="D35" i="132"/>
  <c r="D29" i="132"/>
  <c r="G27" i="132"/>
  <c r="D28" i="132"/>
  <c r="K15" i="132"/>
  <c r="N15" i="132" s="1"/>
  <c r="G15" i="132"/>
  <c r="D14" i="132"/>
  <c r="U13" i="132"/>
  <c r="U12" i="132"/>
  <c r="G8" i="132"/>
  <c r="E232" i="2"/>
  <c r="D232" i="2"/>
  <c r="G55" i="131"/>
  <c r="Q45" i="138" l="1"/>
  <c r="S45" i="138" s="1"/>
  <c r="R45" i="138" s="1"/>
  <c r="P44" i="138"/>
  <c r="O44" i="138" s="1"/>
  <c r="Q27" i="135"/>
  <c r="P26" i="135"/>
  <c r="O26" i="135" s="1"/>
  <c r="S26" i="135"/>
  <c r="R26" i="135" s="1"/>
  <c r="Y20" i="133"/>
  <c r="Y21" i="133" s="1"/>
  <c r="Y22" i="133" s="1"/>
  <c r="Y23" i="133" s="1"/>
  <c r="Y24" i="133" s="1"/>
  <c r="Y25" i="133" s="1"/>
  <c r="Y26" i="133" s="1"/>
  <c r="D7" i="132"/>
  <c r="K54" i="131"/>
  <c r="G54" i="131"/>
  <c r="Q46" i="138" l="1"/>
  <c r="S46" i="138"/>
  <c r="R46" i="138" s="1"/>
  <c r="P45" i="138"/>
  <c r="O45" i="138" s="1"/>
  <c r="Q28" i="135"/>
  <c r="P27" i="135"/>
  <c r="O27" i="135" s="1"/>
  <c r="S27" i="135"/>
  <c r="R27" i="135" s="1"/>
  <c r="Z12" i="133"/>
  <c r="Y27" i="133"/>
  <c r="Y28" i="133" s="1"/>
  <c r="Y29" i="133" s="1"/>
  <c r="Y30" i="133" s="1"/>
  <c r="Y31" i="133" s="1"/>
  <c r="Y32" i="133" s="1"/>
  <c r="Y33" i="133" s="1"/>
  <c r="G54" i="132"/>
  <c r="G53" i="132"/>
  <c r="K47" i="132"/>
  <c r="G47" i="132"/>
  <c r="G26" i="132"/>
  <c r="G23" i="132"/>
  <c r="K48" i="132"/>
  <c r="C48" i="132"/>
  <c r="C46" i="132"/>
  <c r="C45" i="132"/>
  <c r="K44" i="132"/>
  <c r="G44" i="132"/>
  <c r="C44" i="132"/>
  <c r="K43" i="132"/>
  <c r="G43" i="132"/>
  <c r="C43" i="132"/>
  <c r="K42" i="132"/>
  <c r="G42" i="132"/>
  <c r="C42" i="132"/>
  <c r="U41" i="132"/>
  <c r="K41" i="132"/>
  <c r="G41" i="132"/>
  <c r="C41" i="132"/>
  <c r="X40" i="132"/>
  <c r="U40" i="132"/>
  <c r="K40" i="132"/>
  <c r="G40" i="132"/>
  <c r="C39" i="132"/>
  <c r="C38" i="132"/>
  <c r="K37" i="132"/>
  <c r="G37" i="132"/>
  <c r="K36" i="132"/>
  <c r="G36" i="132"/>
  <c r="C36" i="132"/>
  <c r="K35" i="132"/>
  <c r="G35" i="132"/>
  <c r="C35" i="132"/>
  <c r="U34" i="132"/>
  <c r="K34" i="132"/>
  <c r="G34" i="132"/>
  <c r="C34" i="132"/>
  <c r="X33" i="132"/>
  <c r="U33" i="132"/>
  <c r="K33" i="132"/>
  <c r="G33" i="132"/>
  <c r="C33" i="132"/>
  <c r="C32" i="132"/>
  <c r="C31" i="132"/>
  <c r="K30" i="132"/>
  <c r="G30" i="132"/>
  <c r="C30" i="132"/>
  <c r="K29" i="132"/>
  <c r="G29" i="132"/>
  <c r="C29" i="132"/>
  <c r="K28" i="132"/>
  <c r="G28" i="132"/>
  <c r="C28" i="132"/>
  <c r="U27" i="132"/>
  <c r="K27" i="132"/>
  <c r="C27" i="132"/>
  <c r="X26" i="132"/>
  <c r="U26" i="132"/>
  <c r="K26" i="132"/>
  <c r="C25" i="132"/>
  <c r="C24" i="132"/>
  <c r="K23" i="132"/>
  <c r="K22" i="132"/>
  <c r="G22" i="132"/>
  <c r="C22" i="132"/>
  <c r="K21" i="132"/>
  <c r="G21" i="132"/>
  <c r="C21" i="132"/>
  <c r="U20" i="132"/>
  <c r="K20" i="132"/>
  <c r="G20" i="132"/>
  <c r="X19" i="132"/>
  <c r="U19" i="132"/>
  <c r="K19" i="132"/>
  <c r="G19" i="132"/>
  <c r="C19" i="132"/>
  <c r="C18" i="132"/>
  <c r="C17" i="132"/>
  <c r="K16" i="132"/>
  <c r="G16" i="132"/>
  <c r="C15" i="132"/>
  <c r="K14" i="132"/>
  <c r="G14" i="132"/>
  <c r="K13" i="132"/>
  <c r="G13" i="132"/>
  <c r="X12" i="132"/>
  <c r="K12" i="132"/>
  <c r="G12" i="132"/>
  <c r="C11" i="132"/>
  <c r="K9" i="132"/>
  <c r="G9" i="132"/>
  <c r="C9" i="132"/>
  <c r="U8" i="132"/>
  <c r="K8" i="132"/>
  <c r="X7" i="132"/>
  <c r="U7" i="132"/>
  <c r="K7" i="132"/>
  <c r="G7" i="132"/>
  <c r="C7" i="132"/>
  <c r="Q47" i="138" l="1"/>
  <c r="S47" i="138" s="1"/>
  <c r="R47" i="138" s="1"/>
  <c r="P46" i="138"/>
  <c r="O46" i="138" s="1"/>
  <c r="P28" i="135"/>
  <c r="O28" i="135" s="1"/>
  <c r="Q29" i="135"/>
  <c r="S28" i="135"/>
  <c r="R28" i="135" s="1"/>
  <c r="N47" i="132"/>
  <c r="Y34" i="133"/>
  <c r="Y35" i="133" s="1"/>
  <c r="Z19" i="133"/>
  <c r="N42" i="132"/>
  <c r="N26" i="132"/>
  <c r="N12" i="132"/>
  <c r="N23" i="132"/>
  <c r="N48" i="132"/>
  <c r="N14" i="132"/>
  <c r="N30" i="132"/>
  <c r="N22" i="132"/>
  <c r="N33" i="132"/>
  <c r="N34" i="132"/>
  <c r="N8" i="132"/>
  <c r="N13" i="132"/>
  <c r="N27" i="132"/>
  <c r="N40" i="132"/>
  <c r="N43" i="132"/>
  <c r="N44" i="132"/>
  <c r="N16" i="132"/>
  <c r="N41" i="132"/>
  <c r="N28" i="132"/>
  <c r="N19" i="132"/>
  <c r="N9" i="132"/>
  <c r="N20" i="132"/>
  <c r="N36" i="132"/>
  <c r="N7" i="132"/>
  <c r="N29" i="132"/>
  <c r="N37" i="132"/>
  <c r="N35" i="132"/>
  <c r="N21" i="132"/>
  <c r="D49" i="131"/>
  <c r="Q48" i="138" l="1"/>
  <c r="S48" i="138" s="1"/>
  <c r="R48" i="138" s="1"/>
  <c r="P47" i="138"/>
  <c r="O47" i="138" s="1"/>
  <c r="Q30" i="135"/>
  <c r="P29" i="135"/>
  <c r="O29" i="135" s="1"/>
  <c r="S29" i="135"/>
  <c r="R29" i="135" s="1"/>
  <c r="Y36" i="133"/>
  <c r="Y37" i="133" s="1"/>
  <c r="Y38" i="133" s="1"/>
  <c r="Y39" i="133" s="1"/>
  <c r="Y40" i="133" s="1"/>
  <c r="Y41" i="133" s="1"/>
  <c r="Y42" i="133" s="1"/>
  <c r="Y43" i="133" s="1"/>
  <c r="Y44" i="133" s="1"/>
  <c r="Y45" i="133" s="1"/>
  <c r="Y46" i="133" s="1"/>
  <c r="Y47" i="133" s="1"/>
  <c r="Y48" i="133" s="1"/>
  <c r="Z26" i="133"/>
  <c r="D43" i="131"/>
  <c r="D42" i="131"/>
  <c r="D35" i="131"/>
  <c r="D28" i="131"/>
  <c r="D21" i="131"/>
  <c r="D15" i="131"/>
  <c r="D14" i="131"/>
  <c r="P48" i="138" l="1"/>
  <c r="O48" i="138" s="1"/>
  <c r="Q31" i="135"/>
  <c r="P30" i="135"/>
  <c r="O30" i="135" s="1"/>
  <c r="S30" i="135"/>
  <c r="R30" i="135" s="1"/>
  <c r="Z47" i="133"/>
  <c r="Z33" i="133"/>
  <c r="G61" i="131"/>
  <c r="G60" i="131"/>
  <c r="D7" i="131"/>
  <c r="E231" i="2"/>
  <c r="D231" i="2"/>
  <c r="P31" i="135" l="1"/>
  <c r="O31" i="135" s="1"/>
  <c r="Q32" i="135"/>
  <c r="S31" i="135"/>
  <c r="R31" i="135" s="1"/>
  <c r="Z40" i="133"/>
  <c r="X47" i="131"/>
  <c r="U48" i="131"/>
  <c r="U47" i="131"/>
  <c r="G28" i="131"/>
  <c r="G27" i="131"/>
  <c r="G49" i="131"/>
  <c r="G48" i="131"/>
  <c r="K55" i="131"/>
  <c r="C55" i="131"/>
  <c r="C54" i="131"/>
  <c r="N53" i="131"/>
  <c r="C53" i="131"/>
  <c r="N52" i="131"/>
  <c r="C52" i="131"/>
  <c r="K51" i="131"/>
  <c r="G51" i="131"/>
  <c r="C51" i="131"/>
  <c r="K50" i="131"/>
  <c r="G50" i="131"/>
  <c r="C50" i="131"/>
  <c r="K49" i="131"/>
  <c r="C49" i="131"/>
  <c r="K48" i="131"/>
  <c r="C48" i="131"/>
  <c r="N47" i="131"/>
  <c r="N46" i="131"/>
  <c r="C46" i="131"/>
  <c r="N45" i="131"/>
  <c r="C45" i="131"/>
  <c r="K44" i="131"/>
  <c r="G44" i="131"/>
  <c r="C44" i="131"/>
  <c r="K43" i="131"/>
  <c r="G43" i="131"/>
  <c r="C43" i="131"/>
  <c r="K42" i="131"/>
  <c r="G42" i="131"/>
  <c r="C42" i="131"/>
  <c r="U41" i="131"/>
  <c r="K41" i="131"/>
  <c r="G41" i="131"/>
  <c r="C41" i="131"/>
  <c r="X40" i="131"/>
  <c r="U40" i="131"/>
  <c r="K40" i="131"/>
  <c r="G40" i="131"/>
  <c r="C39" i="131"/>
  <c r="C38" i="131"/>
  <c r="K37" i="131"/>
  <c r="G37" i="131"/>
  <c r="K36" i="131"/>
  <c r="G36" i="131"/>
  <c r="C36" i="131"/>
  <c r="K35" i="131"/>
  <c r="G35" i="131"/>
  <c r="C35" i="131"/>
  <c r="U34" i="131"/>
  <c r="K34" i="131"/>
  <c r="G34" i="131"/>
  <c r="C34" i="131"/>
  <c r="X33" i="131"/>
  <c r="U33" i="131"/>
  <c r="K33" i="131"/>
  <c r="G33" i="131"/>
  <c r="C33" i="131"/>
  <c r="C32" i="131"/>
  <c r="C31" i="131"/>
  <c r="K30" i="131"/>
  <c r="G30" i="131"/>
  <c r="C30" i="131"/>
  <c r="K29" i="131"/>
  <c r="G29" i="131"/>
  <c r="C29" i="131"/>
  <c r="K28" i="131"/>
  <c r="C28" i="131"/>
  <c r="U27" i="131"/>
  <c r="K27" i="131"/>
  <c r="C27" i="131"/>
  <c r="X26" i="131"/>
  <c r="U26" i="131"/>
  <c r="K26" i="131"/>
  <c r="N26" i="131" s="1"/>
  <c r="C25" i="131"/>
  <c r="C24" i="131"/>
  <c r="K23" i="131"/>
  <c r="N23" i="131" s="1"/>
  <c r="K22" i="131"/>
  <c r="G22" i="131"/>
  <c r="C22" i="131"/>
  <c r="K21" i="131"/>
  <c r="G21" i="131"/>
  <c r="C21" i="131"/>
  <c r="U20" i="131"/>
  <c r="K20" i="131"/>
  <c r="G20" i="131"/>
  <c r="X19" i="131"/>
  <c r="U19" i="131"/>
  <c r="K19" i="131"/>
  <c r="G19" i="131"/>
  <c r="C19" i="131"/>
  <c r="C18" i="131"/>
  <c r="C17" i="131"/>
  <c r="K16" i="131"/>
  <c r="G16" i="131"/>
  <c r="K15" i="131"/>
  <c r="G15" i="131"/>
  <c r="C15" i="131"/>
  <c r="K14" i="131"/>
  <c r="G14" i="131"/>
  <c r="U13" i="131"/>
  <c r="K13" i="131"/>
  <c r="G13" i="131"/>
  <c r="X12" i="131"/>
  <c r="K12" i="131"/>
  <c r="G12" i="131"/>
  <c r="C11" i="131"/>
  <c r="K9" i="131"/>
  <c r="G9" i="131"/>
  <c r="C9" i="131"/>
  <c r="U8" i="131"/>
  <c r="K8" i="131"/>
  <c r="G8" i="131"/>
  <c r="X7" i="131"/>
  <c r="U7" i="131"/>
  <c r="K7" i="131"/>
  <c r="G7" i="131"/>
  <c r="C7" i="131"/>
  <c r="Q33" i="135" l="1"/>
  <c r="P32" i="135"/>
  <c r="O32" i="135" s="1"/>
  <c r="S32" i="135"/>
  <c r="R32" i="135" s="1"/>
  <c r="N55" i="131"/>
  <c r="N54" i="131"/>
  <c r="N51" i="131"/>
  <c r="N50" i="131"/>
  <c r="N49" i="131"/>
  <c r="N43" i="131"/>
  <c r="N37" i="131"/>
  <c r="N33" i="131"/>
  <c r="N35" i="131"/>
  <c r="N34" i="131"/>
  <c r="N19" i="131"/>
  <c r="N8" i="131"/>
  <c r="N15" i="131"/>
  <c r="N27" i="131"/>
  <c r="N7" i="131"/>
  <c r="N36" i="131"/>
  <c r="N12" i="131"/>
  <c r="N21" i="131"/>
  <c r="N13" i="131"/>
  <c r="N44" i="131"/>
  <c r="N41" i="131"/>
  <c r="N14" i="131"/>
  <c r="N30" i="131"/>
  <c r="N42" i="131"/>
  <c r="N9" i="131"/>
  <c r="N40" i="131"/>
  <c r="N20" i="131"/>
  <c r="N48" i="131"/>
  <c r="N16" i="131"/>
  <c r="N29" i="131"/>
  <c r="N22" i="131"/>
  <c r="N28" i="131"/>
  <c r="G43" i="130"/>
  <c r="D42" i="130"/>
  <c r="Q34" i="135" l="1"/>
  <c r="P33" i="135"/>
  <c r="O33" i="135" s="1"/>
  <c r="S33" i="135"/>
  <c r="R33" i="135" s="1"/>
  <c r="D35" i="130"/>
  <c r="Q35" i="135" l="1"/>
  <c r="P34" i="135"/>
  <c r="O34" i="135" s="1"/>
  <c r="S34" i="135"/>
  <c r="R34" i="135" s="1"/>
  <c r="D28" i="130"/>
  <c r="D22" i="130"/>
  <c r="D21" i="130"/>
  <c r="K15" i="130"/>
  <c r="G13" i="130"/>
  <c r="K12" i="130"/>
  <c r="D14" i="130"/>
  <c r="K16" i="130"/>
  <c r="E230" i="2"/>
  <c r="D230" i="2"/>
  <c r="D7" i="130"/>
  <c r="G54" i="129"/>
  <c r="G12" i="130"/>
  <c r="N12" i="130" s="1"/>
  <c r="G54" i="130"/>
  <c r="G53" i="130"/>
  <c r="K48" i="130"/>
  <c r="G48" i="130"/>
  <c r="C48" i="130"/>
  <c r="K47" i="130"/>
  <c r="G47" i="130"/>
  <c r="C47" i="130"/>
  <c r="N46" i="130"/>
  <c r="C46" i="130"/>
  <c r="N45" i="130"/>
  <c r="C45" i="130"/>
  <c r="K44" i="130"/>
  <c r="G44" i="130"/>
  <c r="C44" i="130"/>
  <c r="K43" i="130"/>
  <c r="C43" i="130"/>
  <c r="K42" i="130"/>
  <c r="G42" i="130"/>
  <c r="C42" i="130"/>
  <c r="U41" i="130"/>
  <c r="K41" i="130"/>
  <c r="G41" i="130"/>
  <c r="C41" i="130"/>
  <c r="X40" i="130"/>
  <c r="U40" i="130"/>
  <c r="K40" i="130"/>
  <c r="G40" i="130"/>
  <c r="C39" i="130"/>
  <c r="C38" i="130"/>
  <c r="K37" i="130"/>
  <c r="G37" i="130"/>
  <c r="K36" i="130"/>
  <c r="G36" i="130"/>
  <c r="C36" i="130"/>
  <c r="K35" i="130"/>
  <c r="G35" i="130"/>
  <c r="C35" i="130"/>
  <c r="U34" i="130"/>
  <c r="K34" i="130"/>
  <c r="G34" i="130"/>
  <c r="C34" i="130"/>
  <c r="X33" i="130"/>
  <c r="U33" i="130"/>
  <c r="K33" i="130"/>
  <c r="G33" i="130"/>
  <c r="C33" i="130"/>
  <c r="C32" i="130"/>
  <c r="C31" i="130"/>
  <c r="K30" i="130"/>
  <c r="G30" i="130"/>
  <c r="C30" i="130"/>
  <c r="K29" i="130"/>
  <c r="G29" i="130"/>
  <c r="C29" i="130"/>
  <c r="K28" i="130"/>
  <c r="G28" i="130"/>
  <c r="C28" i="130"/>
  <c r="U27" i="130"/>
  <c r="K27" i="130"/>
  <c r="G27" i="130"/>
  <c r="C27" i="130"/>
  <c r="X26" i="130"/>
  <c r="U26" i="130"/>
  <c r="K26" i="130"/>
  <c r="G26" i="130"/>
  <c r="C25" i="130"/>
  <c r="C24" i="130"/>
  <c r="K23" i="130"/>
  <c r="G23" i="130"/>
  <c r="K22" i="130"/>
  <c r="G22" i="130"/>
  <c r="C22" i="130"/>
  <c r="K21" i="130"/>
  <c r="G21" i="130"/>
  <c r="C21" i="130"/>
  <c r="U20" i="130"/>
  <c r="K20" i="130"/>
  <c r="G20" i="130"/>
  <c r="X19" i="130"/>
  <c r="U19" i="130"/>
  <c r="K19" i="130"/>
  <c r="G19" i="130"/>
  <c r="C19" i="130"/>
  <c r="C18" i="130"/>
  <c r="C17" i="130"/>
  <c r="G16" i="130"/>
  <c r="G15" i="130"/>
  <c r="C15" i="130"/>
  <c r="K14" i="130"/>
  <c r="G14" i="130"/>
  <c r="U13" i="130"/>
  <c r="K13" i="130"/>
  <c r="X12" i="130"/>
  <c r="C11" i="130"/>
  <c r="K9" i="130"/>
  <c r="G9" i="130"/>
  <c r="C9" i="130"/>
  <c r="U8" i="130"/>
  <c r="K8" i="130"/>
  <c r="G8" i="130"/>
  <c r="X7" i="130"/>
  <c r="U7" i="130"/>
  <c r="K7" i="130"/>
  <c r="C7" i="130"/>
  <c r="Q36" i="135" l="1"/>
  <c r="P35" i="135"/>
  <c r="O35" i="135" s="1"/>
  <c r="S35" i="135"/>
  <c r="R35" i="135" s="1"/>
  <c r="N35" i="130"/>
  <c r="N28" i="130"/>
  <c r="N16" i="130"/>
  <c r="N19" i="130"/>
  <c r="G7" i="130"/>
  <c r="N7" i="130" s="1"/>
  <c r="N14" i="130"/>
  <c r="N23" i="130"/>
  <c r="N37" i="130"/>
  <c r="N20" i="130"/>
  <c r="N30" i="130"/>
  <c r="N34" i="130"/>
  <c r="N13" i="130"/>
  <c r="N47" i="130"/>
  <c r="N33" i="130"/>
  <c r="N36" i="130"/>
  <c r="N22" i="130"/>
  <c r="N29" i="130"/>
  <c r="N8" i="130"/>
  <c r="N9" i="130"/>
  <c r="N15" i="130"/>
  <c r="N26" i="130"/>
  <c r="N41" i="130"/>
  <c r="N44" i="130"/>
  <c r="N48" i="130"/>
  <c r="N21" i="130"/>
  <c r="N27" i="130"/>
  <c r="N40" i="130"/>
  <c r="N42" i="130"/>
  <c r="N43" i="130"/>
  <c r="D49" i="129"/>
  <c r="D43" i="129"/>
  <c r="D42" i="129"/>
  <c r="P36" i="135" l="1"/>
  <c r="O36" i="135" s="1"/>
  <c r="Q37" i="135"/>
  <c r="S36" i="135"/>
  <c r="R36" i="135" s="1"/>
  <c r="D35" i="129"/>
  <c r="P37" i="135" l="1"/>
  <c r="O37" i="135" s="1"/>
  <c r="Q38" i="135"/>
  <c r="S37" i="135"/>
  <c r="R37" i="135" s="1"/>
  <c r="D28" i="129"/>
  <c r="P38" i="135" l="1"/>
  <c r="O38" i="135" s="1"/>
  <c r="Q39" i="135"/>
  <c r="S38" i="135"/>
  <c r="R38" i="135" s="1"/>
  <c r="D21" i="129"/>
  <c r="D14" i="129"/>
  <c r="D8" i="129"/>
  <c r="Q40" i="135" l="1"/>
  <c r="P39" i="135"/>
  <c r="O39" i="135" s="1"/>
  <c r="S39" i="135"/>
  <c r="R39" i="135" s="1"/>
  <c r="D7" i="129"/>
  <c r="D229" i="2"/>
  <c r="G54" i="128"/>
  <c r="P40" i="135" l="1"/>
  <c r="O40" i="135" s="1"/>
  <c r="Q41" i="135"/>
  <c r="S40" i="135"/>
  <c r="R40" i="135" s="1"/>
  <c r="G61" i="129"/>
  <c r="G60" i="129"/>
  <c r="G13" i="129"/>
  <c r="K55" i="129"/>
  <c r="G55" i="129"/>
  <c r="C55" i="129"/>
  <c r="K54" i="129"/>
  <c r="C54" i="129"/>
  <c r="C53" i="129"/>
  <c r="C52" i="129"/>
  <c r="K51" i="129"/>
  <c r="G51" i="129"/>
  <c r="C51" i="129"/>
  <c r="K50" i="129"/>
  <c r="G50" i="129"/>
  <c r="C50" i="129"/>
  <c r="K49" i="129"/>
  <c r="G49" i="129"/>
  <c r="C49" i="129"/>
  <c r="U48" i="129"/>
  <c r="K48" i="129"/>
  <c r="G48" i="129"/>
  <c r="C48" i="129"/>
  <c r="X47" i="129"/>
  <c r="U47" i="129"/>
  <c r="K47" i="129"/>
  <c r="G47" i="129"/>
  <c r="C47" i="129"/>
  <c r="N46" i="129"/>
  <c r="C46" i="129"/>
  <c r="N45" i="129"/>
  <c r="C45" i="129"/>
  <c r="K44" i="129"/>
  <c r="G44" i="129"/>
  <c r="C44" i="129"/>
  <c r="K43" i="129"/>
  <c r="G43" i="129"/>
  <c r="C43" i="129"/>
  <c r="K42" i="129"/>
  <c r="G42" i="129"/>
  <c r="C42" i="129"/>
  <c r="U41" i="129"/>
  <c r="K41" i="129"/>
  <c r="G41" i="129"/>
  <c r="C41" i="129"/>
  <c r="X40" i="129"/>
  <c r="U40" i="129"/>
  <c r="K40" i="129"/>
  <c r="G40" i="129"/>
  <c r="C39" i="129"/>
  <c r="C38" i="129"/>
  <c r="K37" i="129"/>
  <c r="G37" i="129"/>
  <c r="K36" i="129"/>
  <c r="G36" i="129"/>
  <c r="C36" i="129"/>
  <c r="K35" i="129"/>
  <c r="G35" i="129"/>
  <c r="C35" i="129"/>
  <c r="U34" i="129"/>
  <c r="K34" i="129"/>
  <c r="G34" i="129"/>
  <c r="C34" i="129"/>
  <c r="X33" i="129"/>
  <c r="U33" i="129"/>
  <c r="K33" i="129"/>
  <c r="G33" i="129"/>
  <c r="C33" i="129"/>
  <c r="C32" i="129"/>
  <c r="C31" i="129"/>
  <c r="K30" i="129"/>
  <c r="G30" i="129"/>
  <c r="C30" i="129"/>
  <c r="K29" i="129"/>
  <c r="G29" i="129"/>
  <c r="C29" i="129"/>
  <c r="K28" i="129"/>
  <c r="G28" i="129"/>
  <c r="C28" i="129"/>
  <c r="U27" i="129"/>
  <c r="K27" i="129"/>
  <c r="G27" i="129"/>
  <c r="C27" i="129"/>
  <c r="X26" i="129"/>
  <c r="U26" i="129"/>
  <c r="K26" i="129"/>
  <c r="G26" i="129"/>
  <c r="C25" i="129"/>
  <c r="C24" i="129"/>
  <c r="K23" i="129"/>
  <c r="G23" i="129"/>
  <c r="K22" i="129"/>
  <c r="G22" i="129"/>
  <c r="C22" i="129"/>
  <c r="K21" i="129"/>
  <c r="G21" i="129"/>
  <c r="C21" i="129"/>
  <c r="U20" i="129"/>
  <c r="K20" i="129"/>
  <c r="G20" i="129"/>
  <c r="X19" i="129"/>
  <c r="U19" i="129"/>
  <c r="K19" i="129"/>
  <c r="G19" i="129"/>
  <c r="C19" i="129"/>
  <c r="C18" i="129"/>
  <c r="C17" i="129"/>
  <c r="K16" i="129"/>
  <c r="G16" i="129"/>
  <c r="K15" i="129"/>
  <c r="G15" i="129"/>
  <c r="C15" i="129"/>
  <c r="K14" i="129"/>
  <c r="G14" i="129"/>
  <c r="U13" i="129"/>
  <c r="K13" i="129"/>
  <c r="X12" i="129"/>
  <c r="N12" i="129"/>
  <c r="C11" i="129"/>
  <c r="C10" i="129"/>
  <c r="K9" i="129"/>
  <c r="G9" i="129"/>
  <c r="C9" i="129"/>
  <c r="U8" i="129"/>
  <c r="K8" i="129"/>
  <c r="G8" i="129"/>
  <c r="X7" i="129"/>
  <c r="U7" i="129"/>
  <c r="K7" i="129"/>
  <c r="C7" i="129"/>
  <c r="P41" i="135" l="1"/>
  <c r="O41" i="135" s="1"/>
  <c r="Q42" i="135"/>
  <c r="S41" i="135"/>
  <c r="R41" i="135" s="1"/>
  <c r="N42" i="129"/>
  <c r="N22" i="129"/>
  <c r="N19" i="129"/>
  <c r="N41" i="129"/>
  <c r="N54" i="129"/>
  <c r="N33" i="129"/>
  <c r="N26" i="129"/>
  <c r="N29" i="129"/>
  <c r="N40" i="129"/>
  <c r="N55" i="129"/>
  <c r="N35" i="129"/>
  <c r="N27" i="129"/>
  <c r="N13" i="129"/>
  <c r="N34" i="129"/>
  <c r="N8" i="129"/>
  <c r="N23" i="129"/>
  <c r="N14" i="129"/>
  <c r="G7" i="129"/>
  <c r="N7" i="129" s="1"/>
  <c r="N43" i="129"/>
  <c r="N9" i="129"/>
  <c r="N37" i="129"/>
  <c r="N15" i="129"/>
  <c r="N16" i="129"/>
  <c r="N50" i="129"/>
  <c r="N30" i="129"/>
  <c r="N51" i="129"/>
  <c r="N36" i="129"/>
  <c r="N21" i="129"/>
  <c r="N49" i="129"/>
  <c r="N47" i="129"/>
  <c r="N20" i="129"/>
  <c r="N44" i="129"/>
  <c r="N48" i="129"/>
  <c r="N28" i="129"/>
  <c r="D49" i="128"/>
  <c r="P42" i="135" l="1"/>
  <c r="O42" i="135" s="1"/>
  <c r="Q43" i="135"/>
  <c r="S42" i="135"/>
  <c r="R42" i="135" s="1"/>
  <c r="D42" i="128"/>
  <c r="P43" i="135" l="1"/>
  <c r="O43" i="135" s="1"/>
  <c r="Q44" i="135"/>
  <c r="S43" i="135"/>
  <c r="R43" i="135" s="1"/>
  <c r="D36" i="128"/>
  <c r="D28" i="128"/>
  <c r="P44" i="135" l="1"/>
  <c r="O44" i="135" s="1"/>
  <c r="Q45" i="135"/>
  <c r="S44" i="135"/>
  <c r="R44" i="135" s="1"/>
  <c r="G23" i="128"/>
  <c r="G22" i="128"/>
  <c r="Q46" i="135" l="1"/>
  <c r="P45" i="135"/>
  <c r="O45" i="135" s="1"/>
  <c r="S45" i="135"/>
  <c r="R45" i="135" s="1"/>
  <c r="D228" i="2"/>
  <c r="D21" i="128"/>
  <c r="P46" i="135" l="1"/>
  <c r="O46" i="135" s="1"/>
  <c r="Q47" i="135"/>
  <c r="S46" i="135"/>
  <c r="R46" i="135" s="1"/>
  <c r="D14" i="128"/>
  <c r="Q48" i="135" l="1"/>
  <c r="Q49" i="135" s="1"/>
  <c r="P47" i="135"/>
  <c r="O47" i="135" s="1"/>
  <c r="S47" i="135"/>
  <c r="R47" i="135" s="1"/>
  <c r="D7" i="128"/>
  <c r="P48" i="135" l="1"/>
  <c r="O48" i="135" s="1"/>
  <c r="S48" i="135"/>
  <c r="R48" i="135" s="1"/>
  <c r="G55" i="127"/>
  <c r="G54" i="127"/>
  <c r="P49" i="135" l="1"/>
  <c r="O49" i="135" s="1"/>
  <c r="Q50" i="135"/>
  <c r="Q51" i="135" s="1"/>
  <c r="Q52" i="135" s="1"/>
  <c r="Q53" i="135" s="1"/>
  <c r="Q54" i="135" s="1"/>
  <c r="Q55" i="135" s="1"/>
  <c r="S55" i="135" s="1"/>
  <c r="S49" i="135"/>
  <c r="R49" i="135" s="1"/>
  <c r="D50" i="127"/>
  <c r="G50" i="127" s="1"/>
  <c r="G61" i="128"/>
  <c r="G60" i="128"/>
  <c r="K55" i="128"/>
  <c r="G55" i="128"/>
  <c r="C55" i="128"/>
  <c r="K54" i="128"/>
  <c r="C54" i="128"/>
  <c r="C53" i="128"/>
  <c r="C52" i="128"/>
  <c r="K51" i="128"/>
  <c r="G51" i="128"/>
  <c r="C51" i="128"/>
  <c r="K50" i="128"/>
  <c r="G50" i="128"/>
  <c r="C50" i="128"/>
  <c r="K49" i="128"/>
  <c r="G49" i="128"/>
  <c r="C49" i="128"/>
  <c r="U48" i="128"/>
  <c r="K48" i="128"/>
  <c r="G48" i="128"/>
  <c r="C48" i="128"/>
  <c r="X47" i="128"/>
  <c r="U47" i="128"/>
  <c r="K47" i="128"/>
  <c r="G47" i="128"/>
  <c r="C47" i="128"/>
  <c r="N46" i="128"/>
  <c r="C46" i="128"/>
  <c r="N45" i="128"/>
  <c r="C45" i="128"/>
  <c r="K44" i="128"/>
  <c r="G44" i="128"/>
  <c r="C44" i="128"/>
  <c r="K43" i="128"/>
  <c r="G43" i="128"/>
  <c r="C43" i="128"/>
  <c r="K42" i="128"/>
  <c r="G42" i="128"/>
  <c r="C42" i="128"/>
  <c r="U41" i="128"/>
  <c r="K41" i="128"/>
  <c r="G41" i="128"/>
  <c r="C41" i="128"/>
  <c r="X40" i="128"/>
  <c r="U40" i="128"/>
  <c r="K40" i="128"/>
  <c r="G40" i="128"/>
  <c r="C39" i="128"/>
  <c r="C38" i="128"/>
  <c r="K37" i="128"/>
  <c r="G37" i="128"/>
  <c r="K36" i="128"/>
  <c r="G36" i="128"/>
  <c r="C36" i="128"/>
  <c r="K35" i="128"/>
  <c r="G35" i="128"/>
  <c r="C35" i="128"/>
  <c r="U34" i="128"/>
  <c r="K34" i="128"/>
  <c r="G34" i="128"/>
  <c r="C34" i="128"/>
  <c r="X33" i="128"/>
  <c r="U33" i="128"/>
  <c r="K33" i="128"/>
  <c r="G33" i="128"/>
  <c r="C33" i="128"/>
  <c r="C32" i="128"/>
  <c r="C31" i="128"/>
  <c r="K30" i="128"/>
  <c r="G30" i="128"/>
  <c r="C30" i="128"/>
  <c r="K29" i="128"/>
  <c r="G29" i="128"/>
  <c r="C29" i="128"/>
  <c r="K28" i="128"/>
  <c r="G28" i="128"/>
  <c r="C28" i="128"/>
  <c r="U27" i="128"/>
  <c r="K27" i="128"/>
  <c r="G27" i="128"/>
  <c r="C27" i="128"/>
  <c r="X26" i="128"/>
  <c r="U26" i="128"/>
  <c r="K26" i="128"/>
  <c r="G26" i="128"/>
  <c r="C25" i="128"/>
  <c r="C24" i="128"/>
  <c r="K23" i="128"/>
  <c r="K22" i="128"/>
  <c r="C22" i="128"/>
  <c r="K21" i="128"/>
  <c r="G21" i="128"/>
  <c r="C21" i="128"/>
  <c r="U20" i="128"/>
  <c r="K20" i="128"/>
  <c r="G20" i="128"/>
  <c r="X19" i="128"/>
  <c r="U19" i="128"/>
  <c r="K19" i="128"/>
  <c r="G19" i="128"/>
  <c r="C19" i="128"/>
  <c r="C18" i="128"/>
  <c r="C17" i="128"/>
  <c r="K16" i="128"/>
  <c r="G16" i="128"/>
  <c r="K15" i="128"/>
  <c r="G15" i="128"/>
  <c r="C15" i="128"/>
  <c r="K14" i="128"/>
  <c r="G14" i="128"/>
  <c r="U13" i="128"/>
  <c r="K13" i="128"/>
  <c r="G13" i="128"/>
  <c r="X12" i="128"/>
  <c r="U12" i="128"/>
  <c r="K12" i="128"/>
  <c r="G12" i="128"/>
  <c r="C12" i="128"/>
  <c r="C11" i="128"/>
  <c r="C10" i="128"/>
  <c r="K9" i="128"/>
  <c r="G9" i="128"/>
  <c r="C9" i="128"/>
  <c r="U8" i="128"/>
  <c r="K8" i="128"/>
  <c r="G8" i="128"/>
  <c r="X7" i="128"/>
  <c r="U7" i="128"/>
  <c r="K7" i="128"/>
  <c r="C7" i="128"/>
  <c r="D49" i="127"/>
  <c r="P50" i="135" l="1"/>
  <c r="O50" i="135" s="1"/>
  <c r="S50" i="135"/>
  <c r="R50" i="135" s="1"/>
  <c r="G7" i="128"/>
  <c r="N7" i="128" s="1"/>
  <c r="N51" i="128"/>
  <c r="N54" i="128"/>
  <c r="N50" i="128"/>
  <c r="N44" i="128"/>
  <c r="N48" i="128"/>
  <c r="N55" i="128"/>
  <c r="N40" i="128"/>
  <c r="N29" i="128"/>
  <c r="N26" i="128"/>
  <c r="N33" i="128"/>
  <c r="N30" i="128"/>
  <c r="N21" i="128"/>
  <c r="N22" i="128"/>
  <c r="N19" i="128"/>
  <c r="N13" i="128"/>
  <c r="N34" i="128"/>
  <c r="N15" i="128"/>
  <c r="N35" i="128"/>
  <c r="N41" i="128"/>
  <c r="N49" i="128"/>
  <c r="N37" i="128"/>
  <c r="N14" i="128"/>
  <c r="N47" i="128"/>
  <c r="N23" i="128"/>
  <c r="N9" i="128"/>
  <c r="N16" i="128"/>
  <c r="N43" i="128"/>
  <c r="N20" i="128"/>
  <c r="N12" i="128"/>
  <c r="N8" i="128"/>
  <c r="N36" i="128"/>
  <c r="N27" i="128"/>
  <c r="N42" i="128"/>
  <c r="N28" i="128"/>
  <c r="D42" i="127"/>
  <c r="P51" i="135" l="1"/>
  <c r="O51" i="135" s="1"/>
  <c r="S51" i="135"/>
  <c r="R51" i="135" s="1"/>
  <c r="D35" i="127"/>
  <c r="P52" i="135" l="1"/>
  <c r="O52" i="135" s="1"/>
  <c r="S52" i="135"/>
  <c r="R52" i="135" s="1"/>
  <c r="D28" i="127"/>
  <c r="P53" i="135" l="1"/>
  <c r="O53" i="135" s="1"/>
  <c r="S53" i="135"/>
  <c r="R53" i="135" s="1"/>
  <c r="D22" i="127"/>
  <c r="P54" i="135" l="1"/>
  <c r="O54" i="135" s="1"/>
  <c r="G52" i="134"/>
  <c r="S54" i="135"/>
  <c r="R54" i="135" s="1"/>
  <c r="D14" i="127"/>
  <c r="P55" i="135" l="1"/>
  <c r="O55" i="135" s="1"/>
  <c r="R55" i="135"/>
  <c r="E227" i="2"/>
  <c r="D227" i="2"/>
  <c r="D7" i="127"/>
  <c r="G54" i="126"/>
  <c r="G61" i="127" l="1"/>
  <c r="G60" i="127"/>
  <c r="G7" i="127" s="1"/>
  <c r="K55" i="127"/>
  <c r="C55" i="127"/>
  <c r="K54" i="127"/>
  <c r="C54" i="127"/>
  <c r="C53" i="127"/>
  <c r="C52" i="127"/>
  <c r="K51" i="127"/>
  <c r="G51" i="127"/>
  <c r="C51" i="127"/>
  <c r="K50" i="127"/>
  <c r="C50" i="127"/>
  <c r="K49" i="127"/>
  <c r="G49" i="127"/>
  <c r="C49" i="127"/>
  <c r="U48" i="127"/>
  <c r="K48" i="127"/>
  <c r="G48" i="127"/>
  <c r="C48" i="127"/>
  <c r="X47" i="127"/>
  <c r="U47" i="127"/>
  <c r="K47" i="127"/>
  <c r="G47" i="127"/>
  <c r="C47" i="127"/>
  <c r="N46" i="127"/>
  <c r="C46" i="127"/>
  <c r="N45" i="127"/>
  <c r="C45" i="127"/>
  <c r="K44" i="127"/>
  <c r="G44" i="127"/>
  <c r="C44" i="127"/>
  <c r="K43" i="127"/>
  <c r="G43" i="127"/>
  <c r="C43" i="127"/>
  <c r="K42" i="127"/>
  <c r="G42" i="127"/>
  <c r="C42" i="127"/>
  <c r="U41" i="127"/>
  <c r="K41" i="127"/>
  <c r="G41" i="127"/>
  <c r="C41" i="127"/>
  <c r="X40" i="127"/>
  <c r="U40" i="127"/>
  <c r="K40" i="127"/>
  <c r="G40" i="127"/>
  <c r="C39" i="127"/>
  <c r="C38" i="127"/>
  <c r="K37" i="127"/>
  <c r="G37" i="127"/>
  <c r="K36" i="127"/>
  <c r="G36" i="127"/>
  <c r="C36" i="127"/>
  <c r="K35" i="127"/>
  <c r="G35" i="127"/>
  <c r="C35" i="127"/>
  <c r="U34" i="127"/>
  <c r="K34" i="127"/>
  <c r="G34" i="127"/>
  <c r="C34" i="127"/>
  <c r="X33" i="127"/>
  <c r="U33" i="127"/>
  <c r="K33" i="127"/>
  <c r="G33" i="127"/>
  <c r="C33" i="127"/>
  <c r="C32" i="127"/>
  <c r="C31" i="127"/>
  <c r="K30" i="127"/>
  <c r="G30" i="127"/>
  <c r="C30" i="127"/>
  <c r="K29" i="127"/>
  <c r="G29" i="127"/>
  <c r="C29" i="127"/>
  <c r="K28" i="127"/>
  <c r="G28" i="127"/>
  <c r="C28" i="127"/>
  <c r="U27" i="127"/>
  <c r="K27" i="127"/>
  <c r="G27" i="127"/>
  <c r="C27" i="127"/>
  <c r="X26" i="127"/>
  <c r="U26" i="127"/>
  <c r="K26" i="127"/>
  <c r="G26" i="127"/>
  <c r="C25" i="127"/>
  <c r="C24" i="127"/>
  <c r="K23" i="127"/>
  <c r="G23" i="127"/>
  <c r="K22" i="127"/>
  <c r="G22" i="127"/>
  <c r="C22" i="127"/>
  <c r="K21" i="127"/>
  <c r="G21" i="127"/>
  <c r="C21" i="127"/>
  <c r="U20" i="127"/>
  <c r="K20" i="127"/>
  <c r="G20" i="127"/>
  <c r="X19" i="127"/>
  <c r="U19" i="127"/>
  <c r="K19" i="127"/>
  <c r="G19" i="127"/>
  <c r="C19" i="127"/>
  <c r="C18" i="127"/>
  <c r="C17" i="127"/>
  <c r="K16" i="127"/>
  <c r="G16" i="127"/>
  <c r="K15" i="127"/>
  <c r="G15" i="127"/>
  <c r="C15" i="127"/>
  <c r="K14" i="127"/>
  <c r="G14" i="127"/>
  <c r="U13" i="127"/>
  <c r="K13" i="127"/>
  <c r="G13" i="127"/>
  <c r="X12" i="127"/>
  <c r="U12" i="127"/>
  <c r="K12" i="127"/>
  <c r="G12" i="127"/>
  <c r="C12" i="127"/>
  <c r="C11" i="127"/>
  <c r="C10" i="127"/>
  <c r="K9" i="127"/>
  <c r="G9" i="127"/>
  <c r="C9" i="127"/>
  <c r="U8" i="127"/>
  <c r="K8" i="127"/>
  <c r="G8" i="127"/>
  <c r="X7" i="127"/>
  <c r="U7" i="127"/>
  <c r="K7" i="127"/>
  <c r="C7" i="127"/>
  <c r="N54" i="127" l="1"/>
  <c r="N55" i="127"/>
  <c r="N51" i="127"/>
  <c r="N44" i="127"/>
  <c r="N41" i="127"/>
  <c r="N36" i="127"/>
  <c r="N33" i="127"/>
  <c r="N37" i="127"/>
  <c r="N29" i="127"/>
  <c r="N34" i="127"/>
  <c r="N23" i="127"/>
  <c r="N19" i="127"/>
  <c r="N16" i="127"/>
  <c r="N12" i="127"/>
  <c r="N42" i="127"/>
  <c r="N8" i="127"/>
  <c r="N35" i="127"/>
  <c r="N48" i="127"/>
  <c r="N30" i="127"/>
  <c r="N15" i="127"/>
  <c r="N47" i="127"/>
  <c r="N50" i="127"/>
  <c r="N26" i="127"/>
  <c r="N27" i="127"/>
  <c r="N40" i="127"/>
  <c r="N43" i="127"/>
  <c r="N9" i="127"/>
  <c r="N13" i="127"/>
  <c r="N22" i="127"/>
  <c r="N20" i="127"/>
  <c r="N21" i="127"/>
  <c r="N49" i="127"/>
  <c r="N14" i="127"/>
  <c r="N28" i="127"/>
  <c r="N7" i="127"/>
  <c r="D49" i="126"/>
  <c r="D43" i="126" l="1"/>
  <c r="D42" i="126" l="1"/>
  <c r="D35" i="126" l="1"/>
  <c r="D28" i="126" l="1"/>
  <c r="D21" i="126" l="1"/>
  <c r="U12" i="126" l="1"/>
  <c r="D14" i="126" l="1"/>
  <c r="E226" i="2" l="1"/>
  <c r="D8" i="126"/>
  <c r="D226" i="2"/>
  <c r="E225" i="2"/>
  <c r="D225" i="2"/>
  <c r="D7" i="126"/>
  <c r="G41" i="125"/>
  <c r="D42" i="125"/>
  <c r="G61" i="126"/>
  <c r="G60" i="126"/>
  <c r="X47" i="126"/>
  <c r="U48" i="126"/>
  <c r="U47" i="126"/>
  <c r="K55" i="126"/>
  <c r="G55" i="126"/>
  <c r="C55" i="126"/>
  <c r="K54" i="126"/>
  <c r="C54" i="126"/>
  <c r="C53" i="126"/>
  <c r="C52" i="126"/>
  <c r="K51" i="126"/>
  <c r="G51" i="126"/>
  <c r="C51" i="126"/>
  <c r="K50" i="126"/>
  <c r="G50" i="126"/>
  <c r="C50" i="126"/>
  <c r="K49" i="126"/>
  <c r="G49" i="126"/>
  <c r="C49" i="126"/>
  <c r="K48" i="126"/>
  <c r="G48" i="126"/>
  <c r="C48" i="126"/>
  <c r="K47" i="126"/>
  <c r="G47" i="126"/>
  <c r="C47" i="126"/>
  <c r="N46" i="126"/>
  <c r="C46" i="126"/>
  <c r="N45" i="126"/>
  <c r="C45" i="126"/>
  <c r="K44" i="126"/>
  <c r="G44" i="126"/>
  <c r="C44" i="126"/>
  <c r="K43" i="126"/>
  <c r="G43" i="126"/>
  <c r="C43" i="126"/>
  <c r="K42" i="126"/>
  <c r="G42" i="126"/>
  <c r="C42" i="126"/>
  <c r="U41" i="126"/>
  <c r="K41" i="126"/>
  <c r="G41" i="126"/>
  <c r="C41" i="126"/>
  <c r="X40" i="126"/>
  <c r="U40" i="126"/>
  <c r="K40" i="126"/>
  <c r="G40" i="126"/>
  <c r="C39" i="126"/>
  <c r="C38" i="126"/>
  <c r="K37" i="126"/>
  <c r="G37" i="126"/>
  <c r="K36" i="126"/>
  <c r="G36" i="126"/>
  <c r="C36" i="126"/>
  <c r="K35" i="126"/>
  <c r="G35" i="126"/>
  <c r="C35" i="126"/>
  <c r="U34" i="126"/>
  <c r="K34" i="126"/>
  <c r="G34" i="126"/>
  <c r="C34" i="126"/>
  <c r="X33" i="126"/>
  <c r="U33" i="126"/>
  <c r="K33" i="126"/>
  <c r="G33" i="126"/>
  <c r="C33" i="126"/>
  <c r="C32" i="126"/>
  <c r="C31" i="126"/>
  <c r="K30" i="126"/>
  <c r="G30" i="126"/>
  <c r="C30" i="126"/>
  <c r="K29" i="126"/>
  <c r="G29" i="126"/>
  <c r="C29" i="126"/>
  <c r="K28" i="126"/>
  <c r="G28" i="126"/>
  <c r="C28" i="126"/>
  <c r="U27" i="126"/>
  <c r="K27" i="126"/>
  <c r="G27" i="126"/>
  <c r="C27" i="126"/>
  <c r="X26" i="126"/>
  <c r="U26" i="126"/>
  <c r="K26" i="126"/>
  <c r="G26" i="126"/>
  <c r="C25" i="126"/>
  <c r="C24" i="126"/>
  <c r="K23" i="126"/>
  <c r="G23" i="126"/>
  <c r="K22" i="126"/>
  <c r="G22" i="126"/>
  <c r="C22" i="126"/>
  <c r="K21" i="126"/>
  <c r="G21" i="126"/>
  <c r="C21" i="126"/>
  <c r="U20" i="126"/>
  <c r="K20" i="126"/>
  <c r="G20" i="126"/>
  <c r="X19" i="126"/>
  <c r="U19" i="126"/>
  <c r="K19" i="126"/>
  <c r="G19" i="126"/>
  <c r="C19" i="126"/>
  <c r="C18" i="126"/>
  <c r="C17" i="126"/>
  <c r="K16" i="126"/>
  <c r="G16" i="126"/>
  <c r="K15" i="126"/>
  <c r="G15" i="126"/>
  <c r="C15" i="126"/>
  <c r="K14" i="126"/>
  <c r="G14" i="126"/>
  <c r="U13" i="126"/>
  <c r="K13" i="126"/>
  <c r="G13" i="126"/>
  <c r="X12" i="126"/>
  <c r="K12" i="126"/>
  <c r="G12" i="126"/>
  <c r="C12" i="126"/>
  <c r="C11" i="126"/>
  <c r="C10" i="126"/>
  <c r="K9" i="126"/>
  <c r="G9" i="126"/>
  <c r="C9" i="126"/>
  <c r="U8" i="126"/>
  <c r="K8" i="126"/>
  <c r="G8" i="126"/>
  <c r="X7" i="126"/>
  <c r="U7" i="126"/>
  <c r="K7" i="126"/>
  <c r="C7" i="126"/>
  <c r="N55" i="126" l="1"/>
  <c r="N54" i="126"/>
  <c r="N51" i="126"/>
  <c r="N50" i="126"/>
  <c r="N47" i="126"/>
  <c r="N49" i="126"/>
  <c r="N30" i="126"/>
  <c r="N28" i="126"/>
  <c r="N21" i="126"/>
  <c r="N23" i="126"/>
  <c r="N27" i="126"/>
  <c r="N12" i="126"/>
  <c r="N43" i="126"/>
  <c r="G7" i="126"/>
  <c r="N7" i="126" s="1"/>
  <c r="N36" i="126"/>
  <c r="N40" i="126"/>
  <c r="N13" i="126"/>
  <c r="N9" i="126"/>
  <c r="N26" i="126"/>
  <c r="N41" i="126"/>
  <c r="N29" i="126"/>
  <c r="N16" i="126"/>
  <c r="N20" i="126"/>
  <c r="N33" i="126"/>
  <c r="N15" i="126"/>
  <c r="N37" i="126"/>
  <c r="N8" i="126"/>
  <c r="N42" i="126"/>
  <c r="N34" i="126"/>
  <c r="N19" i="126"/>
  <c r="N48" i="126"/>
  <c r="N44" i="126"/>
  <c r="N22" i="126"/>
  <c r="N35" i="126"/>
  <c r="N14" i="126"/>
  <c r="D35" i="125"/>
  <c r="D28" i="125" l="1"/>
  <c r="D22" i="125" l="1"/>
  <c r="D21" i="125"/>
  <c r="D14" i="125" l="1"/>
  <c r="D7" i="125" l="1"/>
  <c r="G54" i="125" l="1"/>
  <c r="G53" i="125"/>
  <c r="K48" i="125"/>
  <c r="G48" i="125"/>
  <c r="C48" i="125"/>
  <c r="K47" i="125"/>
  <c r="G47" i="125"/>
  <c r="C47" i="125"/>
  <c r="K46" i="125"/>
  <c r="N46" i="125" s="1"/>
  <c r="C46" i="125"/>
  <c r="K45" i="125"/>
  <c r="N45" i="125" s="1"/>
  <c r="C45" i="125"/>
  <c r="K44" i="125"/>
  <c r="G44" i="125"/>
  <c r="C44" i="125"/>
  <c r="K43" i="125"/>
  <c r="G43" i="125"/>
  <c r="C43" i="125"/>
  <c r="K42" i="125"/>
  <c r="G42" i="125"/>
  <c r="C42" i="125"/>
  <c r="U41" i="125"/>
  <c r="K41" i="125"/>
  <c r="C41" i="125"/>
  <c r="X40" i="125"/>
  <c r="U40" i="125"/>
  <c r="K40" i="125"/>
  <c r="G40" i="125"/>
  <c r="C39" i="125"/>
  <c r="C38" i="125"/>
  <c r="K37" i="125"/>
  <c r="G37" i="125"/>
  <c r="K36" i="125"/>
  <c r="G36" i="125"/>
  <c r="C36" i="125"/>
  <c r="K35" i="125"/>
  <c r="G35" i="125"/>
  <c r="C35" i="125"/>
  <c r="U34" i="125"/>
  <c r="K34" i="125"/>
  <c r="G34" i="125"/>
  <c r="C34" i="125"/>
  <c r="X33" i="125"/>
  <c r="U33" i="125"/>
  <c r="K33" i="125"/>
  <c r="G33" i="125"/>
  <c r="C33" i="125"/>
  <c r="C32" i="125"/>
  <c r="C31" i="125"/>
  <c r="K30" i="125"/>
  <c r="G30" i="125"/>
  <c r="C30" i="125"/>
  <c r="K29" i="125"/>
  <c r="G29" i="125"/>
  <c r="C29" i="125"/>
  <c r="K28" i="125"/>
  <c r="G28" i="125"/>
  <c r="C28" i="125"/>
  <c r="U27" i="125"/>
  <c r="K27" i="125"/>
  <c r="G27" i="125"/>
  <c r="C27" i="125"/>
  <c r="X26" i="125"/>
  <c r="U26" i="125"/>
  <c r="K26" i="125"/>
  <c r="G26" i="125"/>
  <c r="C25" i="125"/>
  <c r="C24" i="125"/>
  <c r="K23" i="125"/>
  <c r="G23" i="125"/>
  <c r="K22" i="125"/>
  <c r="G22" i="125"/>
  <c r="C22" i="125"/>
  <c r="K21" i="125"/>
  <c r="G21" i="125"/>
  <c r="C21" i="125"/>
  <c r="U20" i="125"/>
  <c r="K20" i="125"/>
  <c r="G20" i="125"/>
  <c r="X19" i="125"/>
  <c r="U19" i="125"/>
  <c r="K19" i="125"/>
  <c r="G19" i="125"/>
  <c r="C19" i="125"/>
  <c r="C18" i="125"/>
  <c r="C17" i="125"/>
  <c r="K16" i="125"/>
  <c r="G16" i="125"/>
  <c r="K15" i="125"/>
  <c r="G15" i="125"/>
  <c r="C15" i="125"/>
  <c r="K14" i="125"/>
  <c r="G14" i="125"/>
  <c r="U13" i="125"/>
  <c r="K13" i="125"/>
  <c r="G13" i="125"/>
  <c r="X12" i="125"/>
  <c r="U12" i="125"/>
  <c r="K12" i="125"/>
  <c r="G12" i="125"/>
  <c r="C12" i="125"/>
  <c r="C11" i="125"/>
  <c r="C10" i="125"/>
  <c r="K9" i="125"/>
  <c r="G9" i="125"/>
  <c r="C9" i="125"/>
  <c r="U8" i="125"/>
  <c r="K8" i="125"/>
  <c r="G8" i="125"/>
  <c r="X7" i="125"/>
  <c r="U7" i="125"/>
  <c r="K7" i="125"/>
  <c r="G7" i="125"/>
  <c r="C7" i="125"/>
  <c r="N34" i="125" l="1"/>
  <c r="N36" i="125"/>
  <c r="N30" i="125"/>
  <c r="N29" i="125"/>
  <c r="N26" i="125"/>
  <c r="N19" i="125"/>
  <c r="N20" i="125"/>
  <c r="N16" i="125"/>
  <c r="N12" i="125"/>
  <c r="N9" i="125"/>
  <c r="N22" i="125"/>
  <c r="N37" i="125"/>
  <c r="N21" i="125"/>
  <c r="N47" i="125"/>
  <c r="N14" i="125"/>
  <c r="N13" i="125"/>
  <c r="N27" i="125"/>
  <c r="N42" i="125"/>
  <c r="N35" i="125"/>
  <c r="N23" i="125"/>
  <c r="N40" i="125"/>
  <c r="N33" i="125"/>
  <c r="N15" i="125"/>
  <c r="N44" i="125"/>
  <c r="N8" i="125"/>
  <c r="N41" i="125"/>
  <c r="N48" i="125"/>
  <c r="N43" i="125"/>
  <c r="N28" i="125"/>
  <c r="N7" i="125"/>
  <c r="D56" i="124"/>
  <c r="D49" i="124" l="1"/>
  <c r="D43" i="124" l="1"/>
  <c r="G43" i="124" s="1"/>
  <c r="D42" i="124"/>
  <c r="G42" i="124" s="1"/>
  <c r="G62" i="124"/>
  <c r="G61" i="124"/>
  <c r="G58" i="124"/>
  <c r="G57" i="124"/>
  <c r="G56" i="124"/>
  <c r="G55" i="124"/>
  <c r="G54" i="124"/>
  <c r="G51" i="124"/>
  <c r="G50" i="124"/>
  <c r="G49" i="124"/>
  <c r="G47" i="124"/>
  <c r="G48" i="124"/>
  <c r="G44" i="124"/>
  <c r="G41" i="124"/>
  <c r="G40" i="124"/>
  <c r="D35" i="124" l="1"/>
  <c r="D28" i="124" l="1"/>
  <c r="D21" i="124" l="1"/>
  <c r="D15" i="124" l="1"/>
  <c r="D14" i="124"/>
  <c r="V12" i="124"/>
  <c r="G68" i="124" l="1"/>
  <c r="G67" i="124"/>
  <c r="G8" i="124"/>
  <c r="K62" i="124"/>
  <c r="K61" i="124"/>
  <c r="K60" i="124"/>
  <c r="K59" i="124"/>
  <c r="K58" i="124"/>
  <c r="K57" i="124"/>
  <c r="K56" i="124"/>
  <c r="K55" i="124"/>
  <c r="K54" i="124"/>
  <c r="K53" i="124"/>
  <c r="K52" i="124"/>
  <c r="K51" i="124"/>
  <c r="K50" i="124"/>
  <c r="K49" i="124"/>
  <c r="K48" i="124"/>
  <c r="K47" i="124"/>
  <c r="K46" i="124"/>
  <c r="K45" i="124"/>
  <c r="K44" i="124"/>
  <c r="K43" i="124"/>
  <c r="K42" i="124"/>
  <c r="K41" i="124"/>
  <c r="K40" i="124"/>
  <c r="K39" i="124"/>
  <c r="K38" i="124"/>
  <c r="K37" i="124"/>
  <c r="K36" i="124"/>
  <c r="K35" i="124"/>
  <c r="K34" i="124"/>
  <c r="K33" i="124"/>
  <c r="K32" i="124"/>
  <c r="K31" i="124"/>
  <c r="K30" i="124"/>
  <c r="K29" i="124"/>
  <c r="K28" i="124"/>
  <c r="K27" i="124"/>
  <c r="K26" i="124"/>
  <c r="K23" i="124"/>
  <c r="K22" i="124"/>
  <c r="K21" i="124"/>
  <c r="K20" i="124"/>
  <c r="K19" i="124"/>
  <c r="K16" i="124"/>
  <c r="K15" i="124"/>
  <c r="K14" i="124"/>
  <c r="K13" i="124"/>
  <c r="K12" i="124"/>
  <c r="K8" i="124"/>
  <c r="K9" i="124"/>
  <c r="K7" i="124"/>
  <c r="E224" i="2"/>
  <c r="D224" i="2"/>
  <c r="D7" i="124"/>
  <c r="G7" i="124" l="1"/>
  <c r="N7" i="124" s="1"/>
  <c r="X55" i="124" l="1"/>
  <c r="X47" i="124"/>
  <c r="X40" i="124"/>
  <c r="U56" i="124"/>
  <c r="U55" i="124"/>
  <c r="U48" i="124"/>
  <c r="U47" i="124"/>
  <c r="U41" i="124"/>
  <c r="U40" i="124"/>
  <c r="N40" i="124"/>
  <c r="G37" i="124"/>
  <c r="N37" i="124" s="1"/>
  <c r="N62" i="124"/>
  <c r="C62" i="124"/>
  <c r="N61" i="124"/>
  <c r="C61" i="124"/>
  <c r="N60" i="124"/>
  <c r="C60" i="124"/>
  <c r="N59" i="124"/>
  <c r="C59" i="124"/>
  <c r="N58" i="124"/>
  <c r="C58" i="124"/>
  <c r="N57" i="124"/>
  <c r="C57" i="124"/>
  <c r="N56" i="124"/>
  <c r="C56" i="124"/>
  <c r="N55" i="124"/>
  <c r="C55" i="124"/>
  <c r="N54" i="124"/>
  <c r="C54" i="124"/>
  <c r="N53" i="124"/>
  <c r="C53" i="124"/>
  <c r="N52" i="124"/>
  <c r="C52" i="124"/>
  <c r="N51" i="124"/>
  <c r="C51" i="124"/>
  <c r="N50" i="124"/>
  <c r="C50" i="124"/>
  <c r="N49" i="124"/>
  <c r="C49" i="124"/>
  <c r="N48" i="124"/>
  <c r="C48" i="124"/>
  <c r="N47" i="124"/>
  <c r="C47" i="124"/>
  <c r="N46" i="124"/>
  <c r="C46" i="124"/>
  <c r="N45" i="124"/>
  <c r="C45" i="124"/>
  <c r="N44" i="124"/>
  <c r="C44" i="124"/>
  <c r="N43" i="124"/>
  <c r="C43" i="124"/>
  <c r="N42" i="124"/>
  <c r="C42" i="124"/>
  <c r="N41" i="124"/>
  <c r="C41" i="124"/>
  <c r="C39" i="124"/>
  <c r="C38" i="124"/>
  <c r="G36" i="124"/>
  <c r="N36" i="124" s="1"/>
  <c r="C36" i="124"/>
  <c r="G35" i="124"/>
  <c r="N35" i="124" s="1"/>
  <c r="C35" i="124"/>
  <c r="U34" i="124"/>
  <c r="G34" i="124"/>
  <c r="N34" i="124" s="1"/>
  <c r="C34" i="124"/>
  <c r="X33" i="124"/>
  <c r="U33" i="124"/>
  <c r="G33" i="124"/>
  <c r="N33" i="124" s="1"/>
  <c r="C33" i="124"/>
  <c r="C32" i="124"/>
  <c r="C31" i="124"/>
  <c r="G30" i="124"/>
  <c r="N30" i="124" s="1"/>
  <c r="C30" i="124"/>
  <c r="G29" i="124"/>
  <c r="N29" i="124" s="1"/>
  <c r="C29" i="124"/>
  <c r="G28" i="124"/>
  <c r="C28" i="124"/>
  <c r="U27" i="124"/>
  <c r="G27" i="124"/>
  <c r="C27" i="124"/>
  <c r="X26" i="124"/>
  <c r="U26" i="124"/>
  <c r="G26" i="124"/>
  <c r="N26" i="124" s="1"/>
  <c r="C25" i="124"/>
  <c r="C24" i="124"/>
  <c r="G23" i="124"/>
  <c r="N23" i="124" s="1"/>
  <c r="G22" i="124"/>
  <c r="N22" i="124" s="1"/>
  <c r="C22" i="124"/>
  <c r="G21" i="124"/>
  <c r="C21" i="124"/>
  <c r="U20" i="124"/>
  <c r="G20" i="124"/>
  <c r="X19" i="124"/>
  <c r="U19" i="124"/>
  <c r="G19" i="124"/>
  <c r="N19" i="124" s="1"/>
  <c r="C19" i="124"/>
  <c r="C18" i="124"/>
  <c r="C17" i="124"/>
  <c r="G16" i="124"/>
  <c r="G15" i="124"/>
  <c r="N15" i="124" s="1"/>
  <c r="C15" i="124"/>
  <c r="G14" i="124"/>
  <c r="N14" i="124" s="1"/>
  <c r="U13" i="124"/>
  <c r="G13" i="124"/>
  <c r="X12" i="124"/>
  <c r="U12" i="124"/>
  <c r="G12" i="124"/>
  <c r="C12" i="124"/>
  <c r="C11" i="124"/>
  <c r="C10" i="124"/>
  <c r="G9" i="124"/>
  <c r="C9" i="124"/>
  <c r="U8" i="124"/>
  <c r="N8" i="124"/>
  <c r="X7" i="124"/>
  <c r="U7" i="124"/>
  <c r="C7" i="124"/>
  <c r="D35" i="123"/>
  <c r="N13" i="124" l="1"/>
  <c r="N28" i="124"/>
  <c r="N16" i="124"/>
  <c r="N20" i="124"/>
  <c r="N9" i="124"/>
  <c r="N12" i="124"/>
  <c r="N27" i="124"/>
  <c r="N21" i="124"/>
  <c r="D28" i="123" l="1"/>
  <c r="G41" i="123" l="1"/>
  <c r="D21" i="123" l="1"/>
  <c r="D14" i="123" l="1"/>
  <c r="E223" i="2" l="1"/>
  <c r="D223" i="2"/>
  <c r="D7" i="123" l="1"/>
  <c r="D22" i="123" l="1"/>
  <c r="G22" i="123" s="1"/>
  <c r="G47" i="123"/>
  <c r="G46" i="123"/>
  <c r="K41" i="123"/>
  <c r="N41" i="123" s="1"/>
  <c r="C41" i="123"/>
  <c r="N40" i="123"/>
  <c r="C39" i="123"/>
  <c r="C38" i="123"/>
  <c r="N37" i="123"/>
  <c r="K36" i="123"/>
  <c r="G36" i="123"/>
  <c r="C36" i="123"/>
  <c r="K35" i="123"/>
  <c r="G35" i="123"/>
  <c r="C35" i="123"/>
  <c r="U34" i="123"/>
  <c r="K34" i="123"/>
  <c r="G34" i="123"/>
  <c r="C34" i="123"/>
  <c r="X33" i="123"/>
  <c r="U33" i="123"/>
  <c r="K33" i="123"/>
  <c r="G33" i="123"/>
  <c r="C33" i="123"/>
  <c r="C32" i="123"/>
  <c r="C31" i="123"/>
  <c r="K30" i="123"/>
  <c r="G30" i="123"/>
  <c r="C30" i="123"/>
  <c r="K29" i="123"/>
  <c r="G29" i="123"/>
  <c r="C29" i="123"/>
  <c r="K28" i="123"/>
  <c r="G28" i="123"/>
  <c r="C28" i="123"/>
  <c r="U27" i="123"/>
  <c r="K27" i="123"/>
  <c r="G27" i="123"/>
  <c r="C27" i="123"/>
  <c r="X26" i="123"/>
  <c r="U26" i="123"/>
  <c r="K26" i="123"/>
  <c r="G26" i="123"/>
  <c r="C25" i="123"/>
  <c r="C24" i="123"/>
  <c r="K23" i="123"/>
  <c r="G23" i="123"/>
  <c r="K22" i="123"/>
  <c r="C22" i="123"/>
  <c r="K21" i="123"/>
  <c r="G21" i="123"/>
  <c r="C21" i="123"/>
  <c r="U20" i="123"/>
  <c r="K20" i="123"/>
  <c r="G20" i="123"/>
  <c r="X19" i="123"/>
  <c r="U19" i="123"/>
  <c r="K19" i="123"/>
  <c r="G19" i="123"/>
  <c r="C19" i="123"/>
  <c r="C18" i="123"/>
  <c r="C17" i="123"/>
  <c r="K16" i="123"/>
  <c r="G16" i="123"/>
  <c r="K15" i="123"/>
  <c r="G15" i="123"/>
  <c r="C15" i="123"/>
  <c r="K14" i="123"/>
  <c r="G14" i="123"/>
  <c r="U13" i="123"/>
  <c r="K13" i="123"/>
  <c r="G13" i="123"/>
  <c r="X12" i="123"/>
  <c r="U12" i="123"/>
  <c r="K12" i="123"/>
  <c r="G12" i="123"/>
  <c r="C12" i="123"/>
  <c r="C11" i="123"/>
  <c r="C10" i="123"/>
  <c r="K9" i="123"/>
  <c r="G9" i="123"/>
  <c r="C9" i="123"/>
  <c r="U8" i="123"/>
  <c r="K8" i="123"/>
  <c r="G8" i="123"/>
  <c r="X7" i="123"/>
  <c r="U7" i="123"/>
  <c r="K7" i="123"/>
  <c r="C7" i="123"/>
  <c r="N36" i="123" l="1"/>
  <c r="N30" i="123"/>
  <c r="N26" i="123"/>
  <c r="N28" i="123"/>
  <c r="N23" i="123"/>
  <c r="N19" i="123"/>
  <c r="N15" i="123"/>
  <c r="N13" i="123"/>
  <c r="N9" i="123"/>
  <c r="G7" i="123"/>
  <c r="N7" i="123" s="1"/>
  <c r="N20" i="123"/>
  <c r="N34" i="123"/>
  <c r="N16" i="123"/>
  <c r="N29" i="123"/>
  <c r="N33" i="123"/>
  <c r="N12" i="123"/>
  <c r="N27" i="123"/>
  <c r="N35" i="123"/>
  <c r="N8" i="123"/>
  <c r="N14" i="123"/>
  <c r="N22" i="123"/>
  <c r="N21" i="123"/>
  <c r="D35" i="122" l="1"/>
  <c r="D28" i="122" l="1"/>
  <c r="D22" i="122" l="1"/>
  <c r="D21" i="122" l="1"/>
  <c r="D14" i="122" l="1"/>
  <c r="E222" i="2" l="1"/>
  <c r="E221" i="2"/>
  <c r="D221" i="2"/>
  <c r="D222" i="2"/>
  <c r="D7" i="122" l="1"/>
  <c r="G54" i="121"/>
  <c r="G47" i="122" l="1"/>
  <c r="G7" i="122" s="1"/>
  <c r="G46" i="122"/>
  <c r="K41" i="122"/>
  <c r="G41" i="122"/>
  <c r="C41" i="122"/>
  <c r="K40" i="122"/>
  <c r="G40" i="122"/>
  <c r="C40" i="122"/>
  <c r="C39" i="122"/>
  <c r="C38" i="122"/>
  <c r="K37" i="122"/>
  <c r="G37" i="122"/>
  <c r="C37" i="122"/>
  <c r="K36" i="122"/>
  <c r="G36" i="122"/>
  <c r="C36" i="122"/>
  <c r="K35" i="122"/>
  <c r="G35" i="122"/>
  <c r="C35" i="122"/>
  <c r="U34" i="122"/>
  <c r="K34" i="122"/>
  <c r="G34" i="122"/>
  <c r="C34" i="122"/>
  <c r="X33" i="122"/>
  <c r="U33" i="122"/>
  <c r="K33" i="122"/>
  <c r="G33" i="122"/>
  <c r="C33" i="122"/>
  <c r="C32" i="122"/>
  <c r="C31" i="122"/>
  <c r="K30" i="122"/>
  <c r="G30" i="122"/>
  <c r="C30" i="122"/>
  <c r="K29" i="122"/>
  <c r="G29" i="122"/>
  <c r="C29" i="122"/>
  <c r="K28" i="122"/>
  <c r="G28" i="122"/>
  <c r="C28" i="122"/>
  <c r="U27" i="122"/>
  <c r="K27" i="122"/>
  <c r="G27" i="122"/>
  <c r="C27" i="122"/>
  <c r="X26" i="122"/>
  <c r="U26" i="122"/>
  <c r="K26" i="122"/>
  <c r="G26" i="122"/>
  <c r="C25" i="122"/>
  <c r="C24" i="122"/>
  <c r="K23" i="122"/>
  <c r="G23" i="122"/>
  <c r="K22" i="122"/>
  <c r="G22" i="122"/>
  <c r="C22" i="122"/>
  <c r="K21" i="122"/>
  <c r="G21" i="122"/>
  <c r="C21" i="122"/>
  <c r="U20" i="122"/>
  <c r="K20" i="122"/>
  <c r="G20" i="122"/>
  <c r="X19" i="122"/>
  <c r="U19" i="122"/>
  <c r="K19" i="122"/>
  <c r="G19" i="122"/>
  <c r="C19" i="122"/>
  <c r="C18" i="122"/>
  <c r="C17" i="122"/>
  <c r="K16" i="122"/>
  <c r="G16" i="122"/>
  <c r="K15" i="122"/>
  <c r="G15" i="122"/>
  <c r="C15" i="122"/>
  <c r="K14" i="122"/>
  <c r="G14" i="122"/>
  <c r="U13" i="122"/>
  <c r="K13" i="122"/>
  <c r="G13" i="122"/>
  <c r="X12" i="122"/>
  <c r="U12" i="122"/>
  <c r="K12" i="122"/>
  <c r="G12" i="122"/>
  <c r="C12" i="122"/>
  <c r="C11" i="122"/>
  <c r="C10" i="122"/>
  <c r="K9" i="122"/>
  <c r="G9" i="122"/>
  <c r="C9" i="122"/>
  <c r="U8" i="122"/>
  <c r="K8" i="122"/>
  <c r="G8" i="122"/>
  <c r="X7" i="122"/>
  <c r="U7" i="122"/>
  <c r="K7" i="122"/>
  <c r="C7" i="122"/>
  <c r="N37" i="122" l="1"/>
  <c r="N29" i="122"/>
  <c r="N23" i="122"/>
  <c r="N20" i="122"/>
  <c r="N21" i="122"/>
  <c r="N12" i="122"/>
  <c r="N16" i="122"/>
  <c r="N19" i="122"/>
  <c r="N30" i="122"/>
  <c r="N26" i="122"/>
  <c r="N34" i="122"/>
  <c r="N40" i="122"/>
  <c r="N9" i="122"/>
  <c r="N13" i="122"/>
  <c r="N22" i="122"/>
  <c r="N14" i="122"/>
  <c r="N36" i="122"/>
  <c r="N41" i="122"/>
  <c r="N27" i="122"/>
  <c r="N33" i="122"/>
  <c r="N15" i="122"/>
  <c r="N35" i="122"/>
  <c r="N8" i="122"/>
  <c r="N28" i="122"/>
  <c r="N7" i="122"/>
  <c r="D49" i="121" l="1"/>
  <c r="D43" i="121" l="1"/>
  <c r="D42" i="121" l="1"/>
  <c r="D35" i="121" l="1"/>
  <c r="D28" i="121" l="1"/>
  <c r="D21" i="121" l="1"/>
  <c r="D14" i="121" l="1"/>
  <c r="D8" i="121" l="1"/>
  <c r="D7" i="121" l="1"/>
  <c r="G54" i="120"/>
  <c r="G51" i="120"/>
  <c r="G61" i="121" l="1"/>
  <c r="G60" i="121"/>
  <c r="K55" i="121"/>
  <c r="G55" i="121"/>
  <c r="C55" i="121"/>
  <c r="K54" i="121"/>
  <c r="C54" i="121"/>
  <c r="C53" i="121"/>
  <c r="C52" i="121"/>
  <c r="K51" i="121"/>
  <c r="G51" i="121"/>
  <c r="C51" i="121"/>
  <c r="K50" i="121"/>
  <c r="G50" i="121"/>
  <c r="C50" i="121"/>
  <c r="K49" i="121"/>
  <c r="G49" i="121"/>
  <c r="C49" i="121"/>
  <c r="U48" i="121"/>
  <c r="K48" i="121"/>
  <c r="G48" i="121"/>
  <c r="C48" i="121"/>
  <c r="X47" i="121"/>
  <c r="U47" i="121"/>
  <c r="K47" i="121"/>
  <c r="G47" i="121"/>
  <c r="C47" i="121"/>
  <c r="K46" i="121"/>
  <c r="C46" i="121"/>
  <c r="K45" i="121"/>
  <c r="C45" i="121"/>
  <c r="K44" i="121"/>
  <c r="G44" i="121"/>
  <c r="C44" i="121"/>
  <c r="K43" i="121"/>
  <c r="G43" i="121"/>
  <c r="C43" i="121"/>
  <c r="K42" i="121"/>
  <c r="G42" i="121"/>
  <c r="C42" i="121"/>
  <c r="U41" i="121"/>
  <c r="K41" i="121"/>
  <c r="G41" i="121"/>
  <c r="C41" i="121"/>
  <c r="X40" i="121"/>
  <c r="U40" i="121"/>
  <c r="K40" i="121"/>
  <c r="G40" i="121"/>
  <c r="C40" i="121"/>
  <c r="C39" i="121"/>
  <c r="C38" i="121"/>
  <c r="K37" i="121"/>
  <c r="G37" i="121"/>
  <c r="C37" i="121"/>
  <c r="K36" i="121"/>
  <c r="G36" i="121"/>
  <c r="C36" i="121"/>
  <c r="K35" i="121"/>
  <c r="G35" i="121"/>
  <c r="C35" i="121"/>
  <c r="U34" i="121"/>
  <c r="K34" i="121"/>
  <c r="G34" i="121"/>
  <c r="C34" i="121"/>
  <c r="X33" i="121"/>
  <c r="U33" i="121"/>
  <c r="K33" i="121"/>
  <c r="G33" i="121"/>
  <c r="C33" i="121"/>
  <c r="C32" i="121"/>
  <c r="C31" i="121"/>
  <c r="K30" i="121"/>
  <c r="G30" i="121"/>
  <c r="C30" i="121"/>
  <c r="K29" i="121"/>
  <c r="G29" i="121"/>
  <c r="C29" i="121"/>
  <c r="K28" i="121"/>
  <c r="G28" i="121"/>
  <c r="C28" i="121"/>
  <c r="U27" i="121"/>
  <c r="K27" i="121"/>
  <c r="G27" i="121"/>
  <c r="C27" i="121"/>
  <c r="X26" i="121"/>
  <c r="U26" i="121"/>
  <c r="K26" i="121"/>
  <c r="G26" i="121"/>
  <c r="C25" i="121"/>
  <c r="C24" i="121"/>
  <c r="K23" i="121"/>
  <c r="G23" i="121"/>
  <c r="K22" i="121"/>
  <c r="G22" i="121"/>
  <c r="C22" i="121"/>
  <c r="K21" i="121"/>
  <c r="G21" i="121"/>
  <c r="C21" i="121"/>
  <c r="U20" i="121"/>
  <c r="K20" i="121"/>
  <c r="G20" i="121"/>
  <c r="X19" i="121"/>
  <c r="U19" i="121"/>
  <c r="K19" i="121"/>
  <c r="G19" i="121"/>
  <c r="C19" i="121"/>
  <c r="C18" i="121"/>
  <c r="C17" i="121"/>
  <c r="K16" i="121"/>
  <c r="G16" i="121"/>
  <c r="K15" i="121"/>
  <c r="G15" i="121"/>
  <c r="C15" i="121"/>
  <c r="K14" i="121"/>
  <c r="G14" i="121"/>
  <c r="U13" i="121"/>
  <c r="K13" i="121"/>
  <c r="G13" i="121"/>
  <c r="X12" i="121"/>
  <c r="U12" i="121"/>
  <c r="K12" i="121"/>
  <c r="G12" i="121"/>
  <c r="C12" i="121"/>
  <c r="C11" i="121"/>
  <c r="C10" i="121"/>
  <c r="K9" i="121"/>
  <c r="G9" i="121"/>
  <c r="C9" i="121"/>
  <c r="U8" i="121"/>
  <c r="K8" i="121"/>
  <c r="G8" i="121"/>
  <c r="X7" i="121"/>
  <c r="U7" i="121"/>
  <c r="K7" i="121"/>
  <c r="C7" i="121"/>
  <c r="N43" i="121" l="1"/>
  <c r="N42" i="121"/>
  <c r="N47" i="121"/>
  <c r="N44" i="121"/>
  <c r="N37" i="121"/>
  <c r="N35" i="121"/>
  <c r="N36" i="121"/>
  <c r="N26" i="121"/>
  <c r="N34" i="121"/>
  <c r="N23" i="121"/>
  <c r="N22" i="121"/>
  <c r="N21" i="121"/>
  <c r="N13" i="121"/>
  <c r="N16" i="121"/>
  <c r="N20" i="121"/>
  <c r="N19" i="121"/>
  <c r="N12" i="121"/>
  <c r="N9" i="121"/>
  <c r="N14" i="121"/>
  <c r="G7" i="121"/>
  <c r="N7" i="121" s="1"/>
  <c r="N30" i="121"/>
  <c r="N29" i="121"/>
  <c r="N33" i="121"/>
  <c r="N27" i="121"/>
  <c r="N15" i="121"/>
  <c r="N28" i="121"/>
  <c r="N8" i="121"/>
  <c r="N50" i="121"/>
  <c r="N54" i="121"/>
  <c r="N41" i="121"/>
  <c r="N48" i="121"/>
  <c r="N51" i="121"/>
  <c r="N55" i="121"/>
  <c r="N40" i="121"/>
  <c r="N49" i="121"/>
  <c r="D49" i="120" l="1"/>
  <c r="V33" i="120" l="1"/>
  <c r="D42" i="120" l="1"/>
  <c r="D35" i="120" l="1"/>
  <c r="D29" i="120" l="1"/>
  <c r="D28" i="120" l="1"/>
  <c r="D21" i="120" l="1"/>
  <c r="D14" i="120" l="1"/>
  <c r="G14" i="120" s="1"/>
  <c r="G61" i="120" l="1"/>
  <c r="G60" i="120"/>
  <c r="E220" i="2" l="1"/>
  <c r="D220" i="2"/>
  <c r="D7" i="120" l="1"/>
  <c r="G54" i="119"/>
  <c r="K55" i="120" l="1"/>
  <c r="G55" i="120"/>
  <c r="C55" i="120"/>
  <c r="K54" i="120"/>
  <c r="C54" i="120"/>
  <c r="C53" i="120"/>
  <c r="C52" i="120"/>
  <c r="K51" i="120"/>
  <c r="C51" i="120"/>
  <c r="K50" i="120"/>
  <c r="G50" i="120"/>
  <c r="C50" i="120"/>
  <c r="K49" i="120"/>
  <c r="G49" i="120"/>
  <c r="C49" i="120"/>
  <c r="U48" i="120"/>
  <c r="K48" i="120"/>
  <c r="G48" i="120"/>
  <c r="C48" i="120"/>
  <c r="X47" i="120"/>
  <c r="U47" i="120"/>
  <c r="K47" i="120"/>
  <c r="G47" i="120"/>
  <c r="C47" i="120"/>
  <c r="K46" i="120"/>
  <c r="C46" i="120"/>
  <c r="K45" i="120"/>
  <c r="C45" i="120"/>
  <c r="K44" i="120"/>
  <c r="G44" i="120"/>
  <c r="C44" i="120"/>
  <c r="K43" i="120"/>
  <c r="G43" i="120"/>
  <c r="C43" i="120"/>
  <c r="K42" i="120"/>
  <c r="G42" i="120"/>
  <c r="C42" i="120"/>
  <c r="U41" i="120"/>
  <c r="K41" i="120"/>
  <c r="G41" i="120"/>
  <c r="C41" i="120"/>
  <c r="X40" i="120"/>
  <c r="U40" i="120"/>
  <c r="K40" i="120"/>
  <c r="G40" i="120"/>
  <c r="C40" i="120"/>
  <c r="C39" i="120"/>
  <c r="C38" i="120"/>
  <c r="K37" i="120"/>
  <c r="G37" i="120"/>
  <c r="C37" i="120"/>
  <c r="K36" i="120"/>
  <c r="G36" i="120"/>
  <c r="C36" i="120"/>
  <c r="K35" i="120"/>
  <c r="G35" i="120"/>
  <c r="C35" i="120"/>
  <c r="U34" i="120"/>
  <c r="K34" i="120"/>
  <c r="G34" i="120"/>
  <c r="C34" i="120"/>
  <c r="X33" i="120"/>
  <c r="U33" i="120"/>
  <c r="K33" i="120"/>
  <c r="G33" i="120"/>
  <c r="C33" i="120"/>
  <c r="C32" i="120"/>
  <c r="C31" i="120"/>
  <c r="K30" i="120"/>
  <c r="G30" i="120"/>
  <c r="C30" i="120"/>
  <c r="K29" i="120"/>
  <c r="G29" i="120"/>
  <c r="C29" i="120"/>
  <c r="K28" i="120"/>
  <c r="G28" i="120"/>
  <c r="C28" i="120"/>
  <c r="U27" i="120"/>
  <c r="K27" i="120"/>
  <c r="G27" i="120"/>
  <c r="C27" i="120"/>
  <c r="X26" i="120"/>
  <c r="U26" i="120"/>
  <c r="K26" i="120"/>
  <c r="G26" i="120"/>
  <c r="C25" i="120"/>
  <c r="C24" i="120"/>
  <c r="K23" i="120"/>
  <c r="G23" i="120"/>
  <c r="K22" i="120"/>
  <c r="G22" i="120"/>
  <c r="C22" i="120"/>
  <c r="K21" i="120"/>
  <c r="G21" i="120"/>
  <c r="C21" i="120"/>
  <c r="U20" i="120"/>
  <c r="K20" i="120"/>
  <c r="G20" i="120"/>
  <c r="X19" i="120"/>
  <c r="U19" i="120"/>
  <c r="K19" i="120"/>
  <c r="G19" i="120"/>
  <c r="C19" i="120"/>
  <c r="C18" i="120"/>
  <c r="C17" i="120"/>
  <c r="K16" i="120"/>
  <c r="G16" i="120"/>
  <c r="K15" i="120"/>
  <c r="G15" i="120"/>
  <c r="C15" i="120"/>
  <c r="K14" i="120"/>
  <c r="U13" i="120"/>
  <c r="K13" i="120"/>
  <c r="G13" i="120"/>
  <c r="X12" i="120"/>
  <c r="U12" i="120"/>
  <c r="K12" i="120"/>
  <c r="G12" i="120"/>
  <c r="C12" i="120"/>
  <c r="C11" i="120"/>
  <c r="C10" i="120"/>
  <c r="K9" i="120"/>
  <c r="G9" i="120"/>
  <c r="C9" i="120"/>
  <c r="U8" i="120"/>
  <c r="K8" i="120"/>
  <c r="G8" i="120"/>
  <c r="X7" i="120"/>
  <c r="U7" i="120"/>
  <c r="K7" i="120"/>
  <c r="G7" i="120"/>
  <c r="C7" i="120"/>
  <c r="N54" i="120" l="1"/>
  <c r="N55" i="120"/>
  <c r="N51" i="120"/>
  <c r="N50" i="120"/>
  <c r="N47" i="120"/>
  <c r="N42" i="120"/>
  <c r="N34" i="120"/>
  <c r="N33" i="120"/>
  <c r="N30" i="120"/>
  <c r="N27" i="120"/>
  <c r="N26" i="120"/>
  <c r="N23" i="120"/>
  <c r="N16" i="120"/>
  <c r="N15" i="120"/>
  <c r="N20" i="120"/>
  <c r="N12" i="120"/>
  <c r="N8" i="120"/>
  <c r="N29" i="120"/>
  <c r="N9" i="120"/>
  <c r="N13" i="120"/>
  <c r="N28" i="120"/>
  <c r="N35" i="120"/>
  <c r="N19" i="120"/>
  <c r="N21" i="120"/>
  <c r="N41" i="120"/>
  <c r="N48" i="120"/>
  <c r="N36" i="120"/>
  <c r="N40" i="120"/>
  <c r="N44" i="120"/>
  <c r="N43" i="120"/>
  <c r="N37" i="120"/>
  <c r="N22" i="120"/>
  <c r="N14" i="120"/>
  <c r="N49" i="120"/>
  <c r="N7" i="120"/>
  <c r="D49" i="119" l="1"/>
  <c r="D42" i="119" l="1"/>
  <c r="D35" i="119" l="1"/>
  <c r="D28" i="119" l="1"/>
  <c r="D22" i="119" l="1"/>
  <c r="D21" i="119" l="1"/>
  <c r="D14" i="119" l="1"/>
  <c r="K7" i="119" l="1"/>
  <c r="D7" i="119"/>
  <c r="E219" i="2" l="1"/>
  <c r="D219" i="2"/>
  <c r="G54" i="118" l="1"/>
  <c r="G61" i="119" l="1"/>
  <c r="G60" i="119"/>
  <c r="K55" i="119"/>
  <c r="G55" i="119"/>
  <c r="C55" i="119"/>
  <c r="K54" i="119"/>
  <c r="C54" i="119"/>
  <c r="C53" i="119"/>
  <c r="C52" i="119"/>
  <c r="K51" i="119"/>
  <c r="G51" i="119"/>
  <c r="C51" i="119"/>
  <c r="K50" i="119"/>
  <c r="G50" i="119"/>
  <c r="C50" i="119"/>
  <c r="K49" i="119"/>
  <c r="G49" i="119"/>
  <c r="C49" i="119"/>
  <c r="U48" i="119"/>
  <c r="K48" i="119"/>
  <c r="G48" i="119"/>
  <c r="C48" i="119"/>
  <c r="X47" i="119"/>
  <c r="U47" i="119"/>
  <c r="K47" i="119"/>
  <c r="G47" i="119"/>
  <c r="C47" i="119"/>
  <c r="K46" i="119"/>
  <c r="C46" i="119"/>
  <c r="K45" i="119"/>
  <c r="C45" i="119"/>
  <c r="K44" i="119"/>
  <c r="G44" i="119"/>
  <c r="C44" i="119"/>
  <c r="K43" i="119"/>
  <c r="G43" i="119"/>
  <c r="C43" i="119"/>
  <c r="K42" i="119"/>
  <c r="G42" i="119"/>
  <c r="C42" i="119"/>
  <c r="U41" i="119"/>
  <c r="K41" i="119"/>
  <c r="G41" i="119"/>
  <c r="C41" i="119"/>
  <c r="X40" i="119"/>
  <c r="U40" i="119"/>
  <c r="K40" i="119"/>
  <c r="G40" i="119"/>
  <c r="C40" i="119"/>
  <c r="C39" i="119"/>
  <c r="C38" i="119"/>
  <c r="K37" i="119"/>
  <c r="G37" i="119"/>
  <c r="C37" i="119"/>
  <c r="K36" i="119"/>
  <c r="G36" i="119"/>
  <c r="C36" i="119"/>
  <c r="K35" i="119"/>
  <c r="G35" i="119"/>
  <c r="C35" i="119"/>
  <c r="U34" i="119"/>
  <c r="K34" i="119"/>
  <c r="G34" i="119"/>
  <c r="C34" i="119"/>
  <c r="X33" i="119"/>
  <c r="U33" i="119"/>
  <c r="K33" i="119"/>
  <c r="G33" i="119"/>
  <c r="C33" i="119"/>
  <c r="C32" i="119"/>
  <c r="C31" i="119"/>
  <c r="K30" i="119"/>
  <c r="G30" i="119"/>
  <c r="C30" i="119"/>
  <c r="K29" i="119"/>
  <c r="G29" i="119"/>
  <c r="C29" i="119"/>
  <c r="K28" i="119"/>
  <c r="G28" i="119"/>
  <c r="C28" i="119"/>
  <c r="U27" i="119"/>
  <c r="K27" i="119"/>
  <c r="G27" i="119"/>
  <c r="C27" i="119"/>
  <c r="X26" i="119"/>
  <c r="U26" i="119"/>
  <c r="K26" i="119"/>
  <c r="G26" i="119"/>
  <c r="C25" i="119"/>
  <c r="C24" i="119"/>
  <c r="K23" i="119"/>
  <c r="G23" i="119"/>
  <c r="K22" i="119"/>
  <c r="G22" i="119"/>
  <c r="C22" i="119"/>
  <c r="K21" i="119"/>
  <c r="G21" i="119"/>
  <c r="C21" i="119"/>
  <c r="U20" i="119"/>
  <c r="K20" i="119"/>
  <c r="G20" i="119"/>
  <c r="X19" i="119"/>
  <c r="U19" i="119"/>
  <c r="K19" i="119"/>
  <c r="G19" i="119"/>
  <c r="C19" i="119"/>
  <c r="C18" i="119"/>
  <c r="C17" i="119"/>
  <c r="K16" i="119"/>
  <c r="G16" i="119"/>
  <c r="K15" i="119"/>
  <c r="G15" i="119"/>
  <c r="C15" i="119"/>
  <c r="K14" i="119"/>
  <c r="G14" i="119"/>
  <c r="U13" i="119"/>
  <c r="K13" i="119"/>
  <c r="G13" i="119"/>
  <c r="X12" i="119"/>
  <c r="U12" i="119"/>
  <c r="K12" i="119"/>
  <c r="G12" i="119"/>
  <c r="C12" i="119"/>
  <c r="C11" i="119"/>
  <c r="C10" i="119"/>
  <c r="K9" i="119"/>
  <c r="G9" i="119"/>
  <c r="C9" i="119"/>
  <c r="U8" i="119"/>
  <c r="K8" i="119"/>
  <c r="G8" i="119"/>
  <c r="X7" i="119"/>
  <c r="U7" i="119"/>
  <c r="C7" i="119"/>
  <c r="N51" i="119" l="1"/>
  <c r="N54" i="119"/>
  <c r="N50" i="119"/>
  <c r="N55" i="119"/>
  <c r="N44" i="119"/>
  <c r="N42" i="119"/>
  <c r="N40" i="119"/>
  <c r="N34" i="119"/>
  <c r="N30" i="119"/>
  <c r="N27" i="119"/>
  <c r="N21" i="119"/>
  <c r="N26" i="119"/>
  <c r="N16" i="119"/>
  <c r="N15" i="119"/>
  <c r="N19" i="119"/>
  <c r="G7" i="119"/>
  <c r="N7" i="119" s="1"/>
  <c r="N13" i="119"/>
  <c r="N12" i="119"/>
  <c r="N9" i="119"/>
  <c r="N35" i="119"/>
  <c r="N43" i="119"/>
  <c r="N47" i="119"/>
  <c r="N22" i="119"/>
  <c r="N41" i="119"/>
  <c r="N20" i="119"/>
  <c r="N48" i="119"/>
  <c r="N23" i="119"/>
  <c r="N29" i="119"/>
  <c r="N49" i="119"/>
  <c r="N33" i="119"/>
  <c r="N37" i="119"/>
  <c r="N36" i="119"/>
  <c r="N8" i="119"/>
  <c r="N14" i="119"/>
  <c r="N28" i="119"/>
  <c r="D49" i="118" l="1"/>
  <c r="D42" i="118" l="1"/>
  <c r="D36" i="118" l="1"/>
  <c r="D35" i="118"/>
  <c r="G29" i="118" l="1"/>
  <c r="D28" i="118" l="1"/>
  <c r="G28" i="118" s="1"/>
  <c r="X19" i="118" l="1"/>
  <c r="D21" i="118" l="1"/>
  <c r="D14" i="118" l="1"/>
  <c r="K7" i="118" l="1"/>
  <c r="E218" i="2" l="1"/>
  <c r="D218" i="2"/>
  <c r="D8" i="118" l="1"/>
  <c r="D7" i="118" l="1"/>
  <c r="G8" i="118" l="1"/>
  <c r="G61" i="118"/>
  <c r="G60" i="118"/>
  <c r="G7" i="118" s="1"/>
  <c r="X47" i="118"/>
  <c r="U48" i="118"/>
  <c r="U47" i="118"/>
  <c r="C49" i="118"/>
  <c r="G49" i="118"/>
  <c r="K49" i="118"/>
  <c r="C50" i="118"/>
  <c r="G50" i="118"/>
  <c r="K50" i="118"/>
  <c r="C51" i="118"/>
  <c r="G51" i="118"/>
  <c r="K51" i="118"/>
  <c r="C52" i="118"/>
  <c r="C53" i="118"/>
  <c r="C54" i="118"/>
  <c r="K54" i="118"/>
  <c r="C55" i="118"/>
  <c r="G55" i="118"/>
  <c r="K55" i="118"/>
  <c r="K48" i="118"/>
  <c r="G48" i="118"/>
  <c r="C48" i="118"/>
  <c r="K47" i="118"/>
  <c r="G47" i="118"/>
  <c r="C47" i="118"/>
  <c r="K46" i="118"/>
  <c r="C46" i="118"/>
  <c r="K45" i="118"/>
  <c r="C45" i="118"/>
  <c r="K44" i="118"/>
  <c r="G44" i="118"/>
  <c r="C44" i="118"/>
  <c r="K43" i="118"/>
  <c r="G43" i="118"/>
  <c r="C43" i="118"/>
  <c r="K42" i="118"/>
  <c r="G42" i="118"/>
  <c r="C42" i="118"/>
  <c r="U41" i="118"/>
  <c r="K41" i="118"/>
  <c r="G41" i="118"/>
  <c r="C41" i="118"/>
  <c r="X40" i="118"/>
  <c r="U40" i="118"/>
  <c r="K40" i="118"/>
  <c r="G40" i="118"/>
  <c r="C40" i="118"/>
  <c r="C39" i="118"/>
  <c r="C38" i="118"/>
  <c r="K37" i="118"/>
  <c r="G37" i="118"/>
  <c r="C37" i="118"/>
  <c r="K36" i="118"/>
  <c r="G36" i="118"/>
  <c r="C36" i="118"/>
  <c r="K35" i="118"/>
  <c r="G35" i="118"/>
  <c r="C35" i="118"/>
  <c r="U34" i="118"/>
  <c r="K34" i="118"/>
  <c r="G34" i="118"/>
  <c r="C34" i="118"/>
  <c r="X33" i="118"/>
  <c r="U33" i="118"/>
  <c r="K33" i="118"/>
  <c r="G33" i="118"/>
  <c r="C33" i="118"/>
  <c r="K32" i="118"/>
  <c r="C32" i="118"/>
  <c r="K31" i="118"/>
  <c r="C31" i="118"/>
  <c r="K30" i="118"/>
  <c r="G30" i="118"/>
  <c r="C30" i="118"/>
  <c r="K29" i="118"/>
  <c r="C29" i="118"/>
  <c r="K28" i="118"/>
  <c r="C28" i="118"/>
  <c r="U27" i="118"/>
  <c r="K27" i="118"/>
  <c r="G27" i="118"/>
  <c r="C27" i="118"/>
  <c r="X26" i="118"/>
  <c r="U26" i="118"/>
  <c r="K26" i="118"/>
  <c r="G26" i="118"/>
  <c r="C25" i="118"/>
  <c r="C24" i="118"/>
  <c r="K23" i="118"/>
  <c r="G23" i="118"/>
  <c r="K22" i="118"/>
  <c r="G22" i="118"/>
  <c r="C22" i="118"/>
  <c r="K21" i="118"/>
  <c r="G21" i="118"/>
  <c r="C21" i="118"/>
  <c r="U20" i="118"/>
  <c r="K20" i="118"/>
  <c r="G20" i="118"/>
  <c r="U19" i="118"/>
  <c r="K19" i="118"/>
  <c r="G19" i="118"/>
  <c r="C19" i="118"/>
  <c r="C18" i="118"/>
  <c r="C17" i="118"/>
  <c r="K16" i="118"/>
  <c r="G16" i="118"/>
  <c r="K15" i="118"/>
  <c r="G15" i="118"/>
  <c r="C15" i="118"/>
  <c r="K14" i="118"/>
  <c r="G14" i="118"/>
  <c r="U13" i="118"/>
  <c r="K13" i="118"/>
  <c r="G13" i="118"/>
  <c r="X12" i="118"/>
  <c r="U12" i="118"/>
  <c r="K12" i="118"/>
  <c r="G12" i="118"/>
  <c r="C12" i="118"/>
  <c r="C11" i="118"/>
  <c r="C10" i="118"/>
  <c r="K9" i="118"/>
  <c r="G9" i="118"/>
  <c r="C9" i="118"/>
  <c r="U8" i="118"/>
  <c r="K8" i="118"/>
  <c r="X7" i="118"/>
  <c r="U7" i="118"/>
  <c r="C7" i="118"/>
  <c r="N48" i="118" l="1"/>
  <c r="N54" i="118"/>
  <c r="N55" i="118"/>
  <c r="N51" i="118"/>
  <c r="N50" i="118"/>
  <c r="N49" i="118"/>
  <c r="N29" i="118"/>
  <c r="N26" i="118"/>
  <c r="N23" i="118"/>
  <c r="N16" i="118"/>
  <c r="N13" i="118"/>
  <c r="N9" i="118"/>
  <c r="N36" i="118"/>
  <c r="N12" i="118"/>
  <c r="N8" i="118"/>
  <c r="N20" i="118"/>
  <c r="N41" i="118"/>
  <c r="N43" i="118"/>
  <c r="N27" i="118"/>
  <c r="N40" i="118"/>
  <c r="N47" i="118"/>
  <c r="N33" i="118"/>
  <c r="N37" i="118"/>
  <c r="N44" i="118"/>
  <c r="N19" i="118"/>
  <c r="N21" i="118"/>
  <c r="N30" i="118"/>
  <c r="N35" i="118"/>
  <c r="N42" i="118"/>
  <c r="N15" i="118"/>
  <c r="N34" i="118"/>
  <c r="N22" i="118"/>
  <c r="N28" i="118"/>
  <c r="N14" i="118"/>
  <c r="N7" i="118"/>
  <c r="D42" i="117" l="1"/>
  <c r="D35" i="117" l="1"/>
  <c r="D28" i="117" l="1"/>
  <c r="G28" i="117" s="1"/>
  <c r="D22" i="117" l="1"/>
  <c r="D21" i="117" l="1"/>
  <c r="D15" i="117" l="1"/>
  <c r="D14" i="117" l="1"/>
  <c r="E217" i="2" l="1"/>
  <c r="D217" i="2"/>
  <c r="G55" i="116"/>
  <c r="D7" i="117" l="1"/>
  <c r="G54" i="117" l="1"/>
  <c r="G53" i="117"/>
  <c r="K48" i="117"/>
  <c r="G48" i="117"/>
  <c r="C48" i="117"/>
  <c r="K47" i="117"/>
  <c r="G47" i="117"/>
  <c r="C47" i="117"/>
  <c r="K46" i="117"/>
  <c r="C46" i="117"/>
  <c r="K45" i="117"/>
  <c r="C45" i="117"/>
  <c r="K44" i="117"/>
  <c r="G44" i="117"/>
  <c r="C44" i="117"/>
  <c r="K43" i="117"/>
  <c r="G43" i="117"/>
  <c r="C43" i="117"/>
  <c r="K42" i="117"/>
  <c r="G42" i="117"/>
  <c r="C42" i="117"/>
  <c r="U41" i="117"/>
  <c r="K41" i="117"/>
  <c r="G41" i="117"/>
  <c r="C41" i="117"/>
  <c r="X40" i="117"/>
  <c r="U40" i="117"/>
  <c r="K40" i="117"/>
  <c r="G40" i="117"/>
  <c r="C40" i="117"/>
  <c r="K39" i="117"/>
  <c r="C39" i="117"/>
  <c r="K38" i="117"/>
  <c r="C38" i="117"/>
  <c r="K37" i="117"/>
  <c r="G37" i="117"/>
  <c r="C37" i="117"/>
  <c r="K36" i="117"/>
  <c r="G36" i="117"/>
  <c r="C36" i="117"/>
  <c r="K35" i="117"/>
  <c r="G35" i="117"/>
  <c r="C35" i="117"/>
  <c r="U34" i="117"/>
  <c r="K34" i="117"/>
  <c r="G34" i="117"/>
  <c r="C34" i="117"/>
  <c r="X33" i="117"/>
  <c r="U33" i="117"/>
  <c r="K33" i="117"/>
  <c r="G33" i="117"/>
  <c r="C33" i="117"/>
  <c r="K32" i="117"/>
  <c r="C32" i="117"/>
  <c r="K31" i="117"/>
  <c r="C31" i="117"/>
  <c r="K30" i="117"/>
  <c r="G30" i="117"/>
  <c r="C30" i="117"/>
  <c r="K29" i="117"/>
  <c r="G29" i="117"/>
  <c r="C29" i="117"/>
  <c r="K28" i="117"/>
  <c r="C28" i="117"/>
  <c r="U27" i="117"/>
  <c r="K27" i="117"/>
  <c r="G27" i="117"/>
  <c r="C27" i="117"/>
  <c r="X26" i="117"/>
  <c r="U26" i="117"/>
  <c r="K26" i="117"/>
  <c r="G26" i="117"/>
  <c r="C25" i="117"/>
  <c r="C24" i="117"/>
  <c r="K23" i="117"/>
  <c r="G23" i="117"/>
  <c r="K22" i="117"/>
  <c r="G22" i="117"/>
  <c r="C22" i="117"/>
  <c r="K21" i="117"/>
  <c r="G21" i="117"/>
  <c r="C21" i="117"/>
  <c r="U20" i="117"/>
  <c r="K20" i="117"/>
  <c r="G20" i="117"/>
  <c r="X19" i="117"/>
  <c r="U19" i="117"/>
  <c r="K19" i="117"/>
  <c r="G19" i="117"/>
  <c r="C19" i="117"/>
  <c r="C18" i="117"/>
  <c r="C17" i="117"/>
  <c r="K16" i="117"/>
  <c r="G16" i="117"/>
  <c r="K15" i="117"/>
  <c r="G15" i="117"/>
  <c r="C15" i="117"/>
  <c r="K14" i="117"/>
  <c r="G14" i="117"/>
  <c r="U13" i="117"/>
  <c r="K13" i="117"/>
  <c r="G13" i="117"/>
  <c r="X12" i="117"/>
  <c r="U12" i="117"/>
  <c r="K12" i="117"/>
  <c r="G12" i="117"/>
  <c r="C12" i="117"/>
  <c r="C11" i="117"/>
  <c r="C10" i="117"/>
  <c r="K9" i="117"/>
  <c r="G9" i="117"/>
  <c r="C9" i="117"/>
  <c r="U8" i="117"/>
  <c r="K8" i="117"/>
  <c r="G8" i="117"/>
  <c r="X7" i="117"/>
  <c r="U7" i="117"/>
  <c r="K7" i="117"/>
  <c r="G7" i="117"/>
  <c r="C7" i="117"/>
  <c r="N37" i="117" l="1"/>
  <c r="N42" i="117"/>
  <c r="N30" i="117"/>
  <c r="N35" i="117"/>
  <c r="N29" i="117"/>
  <c r="N19" i="117"/>
  <c r="N13" i="117"/>
  <c r="N20" i="117"/>
  <c r="N7" i="117"/>
  <c r="N9" i="117"/>
  <c r="N48" i="117"/>
  <c r="N26" i="117"/>
  <c r="N43" i="117"/>
  <c r="N12" i="117"/>
  <c r="N15" i="117"/>
  <c r="N34" i="117"/>
  <c r="N41" i="117"/>
  <c r="N16" i="117"/>
  <c r="N27" i="117"/>
  <c r="N21" i="117"/>
  <c r="N22" i="117"/>
  <c r="N33" i="117"/>
  <c r="N40" i="117"/>
  <c r="N47" i="117"/>
  <c r="N44" i="117"/>
  <c r="N23" i="117"/>
  <c r="N14" i="117"/>
  <c r="N28" i="117"/>
  <c r="N8" i="117"/>
  <c r="N36" i="117"/>
  <c r="C4109" i="12" l="1"/>
  <c r="G50" i="116" l="1"/>
  <c r="G51" i="116"/>
  <c r="G48" i="116"/>
  <c r="D49" i="116" l="1"/>
  <c r="G49" i="116" s="1"/>
  <c r="X47" i="116"/>
  <c r="X40" i="116"/>
  <c r="D42" i="116" l="1"/>
  <c r="D36" i="116" l="1"/>
  <c r="D35" i="116" l="1"/>
  <c r="D28" i="116" l="1"/>
  <c r="G28" i="116" l="1"/>
  <c r="G27" i="116"/>
  <c r="G26" i="116"/>
  <c r="G23" i="116" l="1"/>
  <c r="D21" i="116"/>
  <c r="D14" i="116" l="1"/>
  <c r="K7" i="116" l="1"/>
  <c r="K55" i="116"/>
  <c r="N55" i="116" s="1"/>
  <c r="K54" i="116"/>
  <c r="K53" i="116"/>
  <c r="K52" i="116"/>
  <c r="K51" i="116"/>
  <c r="K50" i="116"/>
  <c r="K49" i="116"/>
  <c r="K48" i="116"/>
  <c r="K47" i="116"/>
  <c r="K46" i="116"/>
  <c r="K45" i="116"/>
  <c r="K44" i="116"/>
  <c r="K43" i="116"/>
  <c r="K42" i="116"/>
  <c r="K41" i="116"/>
  <c r="K40" i="116"/>
  <c r="K39" i="116"/>
  <c r="K38" i="116"/>
  <c r="K37" i="116"/>
  <c r="K36" i="116"/>
  <c r="K35" i="116"/>
  <c r="K34" i="116"/>
  <c r="K33" i="116"/>
  <c r="K32" i="116"/>
  <c r="K31" i="116"/>
  <c r="K30" i="116"/>
  <c r="K29" i="116"/>
  <c r="K28" i="116"/>
  <c r="K27" i="116"/>
  <c r="K26" i="116"/>
  <c r="K25" i="116"/>
  <c r="K24" i="116"/>
  <c r="K23" i="116"/>
  <c r="K22" i="116"/>
  <c r="K21" i="116"/>
  <c r="K20" i="116"/>
  <c r="K19" i="116"/>
  <c r="K16" i="116"/>
  <c r="K15" i="116"/>
  <c r="K14" i="116"/>
  <c r="K13" i="116"/>
  <c r="K12" i="116"/>
  <c r="K9" i="116"/>
  <c r="K8" i="116"/>
  <c r="E216" i="2" l="1"/>
  <c r="D8" i="116"/>
  <c r="D216" i="2"/>
  <c r="D7" i="116" l="1"/>
  <c r="G61" i="116" l="1"/>
  <c r="G60" i="116"/>
  <c r="U48" i="116"/>
  <c r="U47" i="116"/>
  <c r="G54" i="116"/>
  <c r="N54" i="116" s="1"/>
  <c r="N48" i="116"/>
  <c r="N49" i="116"/>
  <c r="N50" i="116"/>
  <c r="N51" i="116"/>
  <c r="C47" i="116"/>
  <c r="C48" i="116"/>
  <c r="C49" i="116"/>
  <c r="C50" i="116"/>
  <c r="C51" i="116"/>
  <c r="C52" i="116"/>
  <c r="C53" i="116"/>
  <c r="C54" i="116"/>
  <c r="C55" i="116"/>
  <c r="G47" i="116"/>
  <c r="N47" i="116" s="1"/>
  <c r="C46" i="116"/>
  <c r="C45" i="116"/>
  <c r="G44" i="116"/>
  <c r="C44" i="116"/>
  <c r="G43" i="116"/>
  <c r="C43" i="116"/>
  <c r="G42" i="116"/>
  <c r="C42" i="116"/>
  <c r="U41" i="116"/>
  <c r="G41" i="116"/>
  <c r="C41" i="116"/>
  <c r="U40" i="116"/>
  <c r="G40" i="116"/>
  <c r="N40" i="116" s="1"/>
  <c r="C40" i="116"/>
  <c r="C39" i="116"/>
  <c r="C38" i="116"/>
  <c r="G37" i="116"/>
  <c r="N37" i="116" s="1"/>
  <c r="C37" i="116"/>
  <c r="G36" i="116"/>
  <c r="C36" i="116"/>
  <c r="G35" i="116"/>
  <c r="C35" i="116"/>
  <c r="U34" i="116"/>
  <c r="G34" i="116"/>
  <c r="N34" i="116" s="1"/>
  <c r="C34" i="116"/>
  <c r="X33" i="116"/>
  <c r="U33" i="116"/>
  <c r="G33" i="116"/>
  <c r="N33" i="116" s="1"/>
  <c r="C33" i="116"/>
  <c r="C32" i="116"/>
  <c r="C31" i="116"/>
  <c r="G30" i="116"/>
  <c r="C30" i="116"/>
  <c r="G29" i="116"/>
  <c r="N29" i="116" s="1"/>
  <c r="C29" i="116"/>
  <c r="C28" i="116"/>
  <c r="U27" i="116"/>
  <c r="N27" i="116"/>
  <c r="C27" i="116"/>
  <c r="X26" i="116"/>
  <c r="U26" i="116"/>
  <c r="N26" i="116"/>
  <c r="C25" i="116"/>
  <c r="C24" i="116"/>
  <c r="N23" i="116"/>
  <c r="G22" i="116"/>
  <c r="N22" i="116" s="1"/>
  <c r="C22" i="116"/>
  <c r="G21" i="116"/>
  <c r="N21" i="116" s="1"/>
  <c r="C21" i="116"/>
  <c r="U20" i="116"/>
  <c r="G20" i="116"/>
  <c r="N20" i="116" s="1"/>
  <c r="X19" i="116"/>
  <c r="U19" i="116"/>
  <c r="G19" i="116"/>
  <c r="C19" i="116"/>
  <c r="C18" i="116"/>
  <c r="C17" i="116"/>
  <c r="G16" i="116"/>
  <c r="G15" i="116"/>
  <c r="C15" i="116"/>
  <c r="G14" i="116"/>
  <c r="N14" i="116" s="1"/>
  <c r="U13" i="116"/>
  <c r="G13" i="116"/>
  <c r="X12" i="116"/>
  <c r="U12" i="116"/>
  <c r="G12" i="116"/>
  <c r="C12" i="116"/>
  <c r="C11" i="116"/>
  <c r="C10" i="116"/>
  <c r="G9" i="116"/>
  <c r="C9" i="116"/>
  <c r="U8" i="116"/>
  <c r="G8" i="116"/>
  <c r="N8" i="116" s="1"/>
  <c r="X7" i="116"/>
  <c r="U7" i="116"/>
  <c r="C7" i="116"/>
  <c r="G7" i="116" l="1"/>
  <c r="N7" i="116" s="1"/>
  <c r="N35" i="116"/>
  <c r="N12" i="116"/>
  <c r="N9" i="116"/>
  <c r="N19" i="116"/>
  <c r="N15" i="116"/>
  <c r="N28" i="116"/>
  <c r="N36" i="116"/>
  <c r="N13" i="116"/>
  <c r="N16" i="116"/>
  <c r="N30" i="116"/>
  <c r="N41" i="116"/>
  <c r="N44" i="116"/>
  <c r="N42" i="116"/>
  <c r="N43" i="116"/>
  <c r="D42" i="115"/>
  <c r="D35" i="115" l="1"/>
  <c r="G27" i="115" l="1"/>
  <c r="D28" i="115" l="1"/>
  <c r="D22" i="115" l="1"/>
  <c r="D21" i="115" l="1"/>
  <c r="D14" i="115" l="1"/>
  <c r="K8" i="115" l="1"/>
  <c r="E215" i="2" l="1"/>
  <c r="E214" i="2"/>
  <c r="G54" i="114"/>
  <c r="D215" i="2" l="1"/>
  <c r="D214" i="2"/>
  <c r="G54" i="115" l="1"/>
  <c r="G53" i="115"/>
  <c r="K48" i="115" l="1"/>
  <c r="G48" i="115"/>
  <c r="C48" i="115"/>
  <c r="K47" i="115"/>
  <c r="G47" i="115"/>
  <c r="C47" i="115"/>
  <c r="C46" i="115"/>
  <c r="C45" i="115"/>
  <c r="K44" i="115"/>
  <c r="G44" i="115"/>
  <c r="C44" i="115"/>
  <c r="K43" i="115"/>
  <c r="G43" i="115"/>
  <c r="C43" i="115"/>
  <c r="K42" i="115"/>
  <c r="G42" i="115"/>
  <c r="C42" i="115"/>
  <c r="U41" i="115"/>
  <c r="K41" i="115"/>
  <c r="G41" i="115"/>
  <c r="C41" i="115"/>
  <c r="X40" i="115"/>
  <c r="U40" i="115"/>
  <c r="K40" i="115"/>
  <c r="G40" i="115"/>
  <c r="C40" i="115"/>
  <c r="C39" i="115"/>
  <c r="C38" i="115"/>
  <c r="K37" i="115"/>
  <c r="G37" i="115"/>
  <c r="C37" i="115"/>
  <c r="K36" i="115"/>
  <c r="G36" i="115"/>
  <c r="C36" i="115"/>
  <c r="K35" i="115"/>
  <c r="G35" i="115"/>
  <c r="C35" i="115"/>
  <c r="U34" i="115"/>
  <c r="K34" i="115"/>
  <c r="G34" i="115"/>
  <c r="C34" i="115"/>
  <c r="X33" i="115"/>
  <c r="U33" i="115"/>
  <c r="K33" i="115"/>
  <c r="G33" i="115"/>
  <c r="C33" i="115"/>
  <c r="C32" i="115"/>
  <c r="C31" i="115"/>
  <c r="K30" i="115"/>
  <c r="G30" i="115"/>
  <c r="C30" i="115"/>
  <c r="K29" i="115"/>
  <c r="G29" i="115"/>
  <c r="C29" i="115"/>
  <c r="K28" i="115"/>
  <c r="G28" i="115"/>
  <c r="C28" i="115"/>
  <c r="U27" i="115"/>
  <c r="K27" i="115"/>
  <c r="C27" i="115"/>
  <c r="X26" i="115"/>
  <c r="U26" i="115"/>
  <c r="K26" i="115"/>
  <c r="C25" i="115"/>
  <c r="C24" i="115"/>
  <c r="K23" i="115"/>
  <c r="K22" i="115"/>
  <c r="G22" i="115"/>
  <c r="C22" i="115"/>
  <c r="K21" i="115"/>
  <c r="G21" i="115"/>
  <c r="C21" i="115"/>
  <c r="U20" i="115"/>
  <c r="K20" i="115"/>
  <c r="G20" i="115"/>
  <c r="X19" i="115"/>
  <c r="U19" i="115"/>
  <c r="K19" i="115"/>
  <c r="G19" i="115"/>
  <c r="C19" i="115"/>
  <c r="C18" i="115"/>
  <c r="C17" i="115"/>
  <c r="K16" i="115"/>
  <c r="G16" i="115"/>
  <c r="K15" i="115"/>
  <c r="G15" i="115"/>
  <c r="C15" i="115"/>
  <c r="K14" i="115"/>
  <c r="G14" i="115"/>
  <c r="U13" i="115"/>
  <c r="K13" i="115"/>
  <c r="G13" i="115"/>
  <c r="X12" i="115"/>
  <c r="U12" i="115"/>
  <c r="K12" i="115"/>
  <c r="G12" i="115"/>
  <c r="C12" i="115"/>
  <c r="N11" i="115"/>
  <c r="C11" i="115"/>
  <c r="N10" i="115"/>
  <c r="C10" i="115"/>
  <c r="K9" i="115"/>
  <c r="G9" i="115"/>
  <c r="C9" i="115"/>
  <c r="U8" i="115"/>
  <c r="G8" i="115"/>
  <c r="X7" i="115"/>
  <c r="U7" i="115"/>
  <c r="K7" i="115"/>
  <c r="N7" i="115" s="1"/>
  <c r="G7" i="115"/>
  <c r="C7" i="115"/>
  <c r="N47" i="115" l="1"/>
  <c r="N43" i="115"/>
  <c r="N41" i="115"/>
  <c r="N28" i="115"/>
  <c r="N20" i="115"/>
  <c r="N27" i="115"/>
  <c r="N19" i="115"/>
  <c r="N16" i="115"/>
  <c r="N13" i="115"/>
  <c r="N12" i="115"/>
  <c r="N21" i="115"/>
  <c r="N15" i="115"/>
  <c r="N44" i="115"/>
  <c r="N14" i="115"/>
  <c r="N23" i="115"/>
  <c r="N33" i="115"/>
  <c r="N37" i="115"/>
  <c r="N22" i="115"/>
  <c r="N26" i="115"/>
  <c r="N34" i="115"/>
  <c r="N48" i="115"/>
  <c r="N30" i="115"/>
  <c r="N35" i="115"/>
  <c r="N9" i="115"/>
  <c r="N36" i="115"/>
  <c r="N40" i="115"/>
  <c r="N8" i="115"/>
  <c r="N29" i="115"/>
  <c r="N42" i="115"/>
  <c r="D49" i="114" l="1"/>
  <c r="D42" i="114" l="1"/>
  <c r="D36" i="114" l="1"/>
  <c r="D35" i="114" l="1"/>
  <c r="D28" i="114" l="1"/>
  <c r="D21" i="114" l="1"/>
  <c r="D14" i="114" l="1"/>
  <c r="K7" i="114" l="1"/>
  <c r="D8" i="114"/>
  <c r="G61" i="114" l="1"/>
  <c r="D7" i="114" l="1"/>
  <c r="K16" i="114" l="1"/>
  <c r="K23" i="114"/>
  <c r="G26" i="114"/>
  <c r="G19" i="114"/>
  <c r="G23" i="114"/>
  <c r="G16" i="114"/>
  <c r="X47" i="114"/>
  <c r="U48" i="114"/>
  <c r="U47" i="114"/>
  <c r="G55" i="114"/>
  <c r="K55" i="114"/>
  <c r="C55" i="114"/>
  <c r="K54" i="114"/>
  <c r="C54" i="114"/>
  <c r="C53" i="114"/>
  <c r="C52" i="114"/>
  <c r="K51" i="114"/>
  <c r="G51" i="114"/>
  <c r="C51" i="114"/>
  <c r="K50" i="114"/>
  <c r="G50" i="114"/>
  <c r="C50" i="114"/>
  <c r="G60" i="114"/>
  <c r="G7" i="114" s="1"/>
  <c r="K49" i="114"/>
  <c r="G49" i="114"/>
  <c r="C49" i="114"/>
  <c r="K48" i="114"/>
  <c r="G48" i="114"/>
  <c r="C48" i="114"/>
  <c r="K47" i="114"/>
  <c r="G47" i="114"/>
  <c r="C47" i="114"/>
  <c r="C46" i="114"/>
  <c r="C45" i="114"/>
  <c r="K44" i="114"/>
  <c r="G44" i="114"/>
  <c r="C44" i="114"/>
  <c r="K43" i="114"/>
  <c r="G43" i="114"/>
  <c r="C43" i="114"/>
  <c r="K42" i="114"/>
  <c r="G42" i="114"/>
  <c r="C42" i="114"/>
  <c r="U41" i="114"/>
  <c r="K41" i="114"/>
  <c r="G41" i="114"/>
  <c r="C41" i="114"/>
  <c r="X40" i="114"/>
  <c r="U40" i="114"/>
  <c r="K40" i="114"/>
  <c r="G40" i="114"/>
  <c r="C40" i="114"/>
  <c r="C39" i="114"/>
  <c r="C38" i="114"/>
  <c r="K37" i="114"/>
  <c r="G37" i="114"/>
  <c r="C37" i="114"/>
  <c r="K36" i="114"/>
  <c r="G36" i="114"/>
  <c r="C36" i="114"/>
  <c r="K35" i="114"/>
  <c r="G35" i="114"/>
  <c r="C35" i="114"/>
  <c r="U34" i="114"/>
  <c r="K34" i="114"/>
  <c r="G34" i="114"/>
  <c r="C34" i="114"/>
  <c r="X33" i="114"/>
  <c r="U33" i="114"/>
  <c r="K33" i="114"/>
  <c r="G33" i="114"/>
  <c r="C33" i="114"/>
  <c r="C32" i="114"/>
  <c r="C31" i="114"/>
  <c r="K30" i="114"/>
  <c r="G30" i="114"/>
  <c r="C30" i="114"/>
  <c r="K29" i="114"/>
  <c r="G29" i="114"/>
  <c r="C29" i="114"/>
  <c r="K28" i="114"/>
  <c r="G28" i="114"/>
  <c r="C28" i="114"/>
  <c r="U27" i="114"/>
  <c r="K27" i="114"/>
  <c r="G27" i="114"/>
  <c r="C27" i="114"/>
  <c r="X26" i="114"/>
  <c r="U26" i="114"/>
  <c r="K26" i="114"/>
  <c r="C26" i="114"/>
  <c r="C25" i="114"/>
  <c r="C24" i="114"/>
  <c r="K22" i="114"/>
  <c r="G22" i="114"/>
  <c r="C22" i="114"/>
  <c r="K21" i="114"/>
  <c r="G21" i="114"/>
  <c r="C21" i="114"/>
  <c r="U20" i="114"/>
  <c r="K20" i="114"/>
  <c r="G20" i="114"/>
  <c r="X19" i="114"/>
  <c r="U19" i="114"/>
  <c r="K19" i="114"/>
  <c r="C19" i="114"/>
  <c r="C18" i="114"/>
  <c r="C17" i="114"/>
  <c r="K15" i="114"/>
  <c r="G15" i="114"/>
  <c r="C15" i="114"/>
  <c r="K14" i="114"/>
  <c r="G14" i="114"/>
  <c r="U13" i="114"/>
  <c r="K13" i="114"/>
  <c r="G13" i="114"/>
  <c r="X12" i="114"/>
  <c r="U12" i="114"/>
  <c r="K12" i="114"/>
  <c r="G12" i="114"/>
  <c r="C12" i="114"/>
  <c r="N11" i="114"/>
  <c r="C11" i="114"/>
  <c r="N10" i="114"/>
  <c r="C10" i="114"/>
  <c r="K9" i="114"/>
  <c r="G9" i="114"/>
  <c r="C9" i="114"/>
  <c r="U8" i="114"/>
  <c r="K8" i="114"/>
  <c r="G8" i="114"/>
  <c r="X7" i="114"/>
  <c r="U7" i="114"/>
  <c r="C7" i="114"/>
  <c r="N37" i="114" l="1"/>
  <c r="N33" i="114"/>
  <c r="N35" i="114"/>
  <c r="N34" i="114"/>
  <c r="N27" i="114"/>
  <c r="N23" i="114"/>
  <c r="N22" i="114"/>
  <c r="N13" i="114"/>
  <c r="N12" i="114"/>
  <c r="N9" i="114"/>
  <c r="N14" i="114"/>
  <c r="N16" i="114"/>
  <c r="N54" i="114"/>
  <c r="N55" i="114"/>
  <c r="N8" i="114"/>
  <c r="N15" i="114"/>
  <c r="N40" i="114"/>
  <c r="N19" i="114"/>
  <c r="N43" i="114"/>
  <c r="N47" i="114"/>
  <c r="N51" i="114"/>
  <c r="N21" i="114"/>
  <c r="N26" i="114"/>
  <c r="N30" i="114"/>
  <c r="N41" i="114"/>
  <c r="N44" i="114"/>
  <c r="N48" i="114"/>
  <c r="N20" i="114"/>
  <c r="N36" i="114"/>
  <c r="N42" i="114"/>
  <c r="N50" i="114"/>
  <c r="N29" i="114"/>
  <c r="N49" i="114"/>
  <c r="N7" i="114"/>
  <c r="N28" i="114"/>
  <c r="D42" i="113" l="1"/>
  <c r="D35" i="113" l="1"/>
  <c r="D28" i="113" l="1"/>
  <c r="D21" i="113" l="1"/>
  <c r="D14" i="113" l="1"/>
  <c r="D8" i="113" l="1"/>
  <c r="X7" i="113" l="1"/>
  <c r="E213" i="2" l="1"/>
  <c r="D213" i="2"/>
  <c r="U12" i="113" l="1"/>
  <c r="D7" i="113"/>
  <c r="G56" i="113" l="1"/>
  <c r="G55" i="113"/>
  <c r="G54" i="113"/>
  <c r="K22" i="113"/>
  <c r="G22" i="113"/>
  <c r="G26" i="113"/>
  <c r="G19" i="113"/>
  <c r="K48" i="113"/>
  <c r="G48" i="113"/>
  <c r="C48" i="113"/>
  <c r="K47" i="113"/>
  <c r="G47" i="113"/>
  <c r="C47" i="113"/>
  <c r="C46" i="113"/>
  <c r="C45" i="113"/>
  <c r="K44" i="113"/>
  <c r="G44" i="113"/>
  <c r="C44" i="113"/>
  <c r="K43" i="113"/>
  <c r="G43" i="113"/>
  <c r="C43" i="113"/>
  <c r="K42" i="113"/>
  <c r="G42" i="113"/>
  <c r="C42" i="113"/>
  <c r="U41" i="113"/>
  <c r="K41" i="113"/>
  <c r="G41" i="113"/>
  <c r="C41" i="113"/>
  <c r="X40" i="113"/>
  <c r="U40" i="113"/>
  <c r="K40" i="113"/>
  <c r="G40" i="113"/>
  <c r="C40" i="113"/>
  <c r="C39" i="113"/>
  <c r="C38" i="113"/>
  <c r="K37" i="113"/>
  <c r="G37" i="113"/>
  <c r="C37" i="113"/>
  <c r="K36" i="113"/>
  <c r="G36" i="113"/>
  <c r="C36" i="113"/>
  <c r="K35" i="113"/>
  <c r="N35" i="113" s="1"/>
  <c r="G35" i="113"/>
  <c r="C35" i="113"/>
  <c r="U34" i="113"/>
  <c r="K34" i="113"/>
  <c r="G34" i="113"/>
  <c r="C34" i="113"/>
  <c r="X33" i="113"/>
  <c r="U33" i="113"/>
  <c r="K33" i="113"/>
  <c r="G33" i="113"/>
  <c r="C33" i="113"/>
  <c r="C32" i="113"/>
  <c r="C31" i="113"/>
  <c r="K30" i="113"/>
  <c r="G30" i="113"/>
  <c r="C30" i="113"/>
  <c r="K29" i="113"/>
  <c r="G29" i="113"/>
  <c r="C29" i="113"/>
  <c r="K28" i="113"/>
  <c r="G28" i="113"/>
  <c r="C28" i="113"/>
  <c r="U27" i="113"/>
  <c r="K27" i="113"/>
  <c r="G27" i="113"/>
  <c r="C27" i="113"/>
  <c r="X26" i="113"/>
  <c r="U26" i="113"/>
  <c r="K26" i="113"/>
  <c r="C26" i="113"/>
  <c r="C25" i="113"/>
  <c r="C24" i="113"/>
  <c r="C22" i="113"/>
  <c r="K21" i="113"/>
  <c r="G21" i="113"/>
  <c r="C21" i="113"/>
  <c r="U20" i="113"/>
  <c r="K20" i="113"/>
  <c r="G20" i="113"/>
  <c r="X19" i="113"/>
  <c r="U19" i="113"/>
  <c r="K19" i="113"/>
  <c r="C19" i="113"/>
  <c r="C18" i="113"/>
  <c r="C17" i="113"/>
  <c r="K15" i="113"/>
  <c r="G15" i="113"/>
  <c r="C15" i="113"/>
  <c r="K14" i="113"/>
  <c r="G14" i="113"/>
  <c r="U13" i="113"/>
  <c r="K13" i="113"/>
  <c r="G13" i="113"/>
  <c r="X12" i="113"/>
  <c r="K12" i="113"/>
  <c r="G12" i="113"/>
  <c r="C12" i="113"/>
  <c r="N11" i="113"/>
  <c r="C11" i="113"/>
  <c r="N10" i="113"/>
  <c r="C10" i="113"/>
  <c r="K9" i="113"/>
  <c r="G9" i="113"/>
  <c r="C9" i="113"/>
  <c r="U8" i="113"/>
  <c r="K8" i="113"/>
  <c r="G8" i="113"/>
  <c r="U7" i="113"/>
  <c r="K7" i="113"/>
  <c r="C7" i="113"/>
  <c r="N26" i="113" l="1"/>
  <c r="N20" i="113"/>
  <c r="N27" i="113"/>
  <c r="N21" i="113"/>
  <c r="N22" i="113"/>
  <c r="N33" i="113"/>
  <c r="N44" i="113"/>
  <c r="N47" i="113"/>
  <c r="N43" i="113"/>
  <c r="N40" i="113"/>
  <c r="N37" i="113"/>
  <c r="N30" i="113"/>
  <c r="N29" i="113"/>
  <c r="N28" i="113"/>
  <c r="N15" i="113"/>
  <c r="N9" i="113"/>
  <c r="N48" i="113"/>
  <c r="G7" i="113"/>
  <c r="N7" i="113" s="1"/>
  <c r="N8" i="113"/>
  <c r="N36" i="113"/>
  <c r="N41" i="113"/>
  <c r="N14" i="113"/>
  <c r="N12" i="113"/>
  <c r="N23" i="113"/>
  <c r="N13" i="113"/>
  <c r="N19" i="113"/>
  <c r="N16" i="113"/>
  <c r="N34" i="113"/>
  <c r="N42" i="113"/>
  <c r="D42" i="112" l="1"/>
  <c r="G36" i="112" l="1"/>
  <c r="G37" i="112"/>
  <c r="D35" i="112" l="1"/>
  <c r="G33" i="112" l="1"/>
  <c r="G30" i="112"/>
  <c r="D29" i="112" l="1"/>
  <c r="D28" i="112" l="1"/>
  <c r="D21" i="112" l="1"/>
  <c r="D14" i="112" l="1"/>
  <c r="E212" i="2" l="1"/>
  <c r="D212" i="2"/>
  <c r="D7" i="112" l="1"/>
  <c r="D50" i="111" l="1"/>
  <c r="G56" i="112" l="1"/>
  <c r="G55" i="112"/>
  <c r="G54" i="112"/>
  <c r="G7" i="112" s="1"/>
  <c r="K48" i="112"/>
  <c r="G48" i="112"/>
  <c r="C48" i="112"/>
  <c r="K47" i="112"/>
  <c r="G47" i="112"/>
  <c r="C47" i="112"/>
  <c r="N46" i="112"/>
  <c r="C46" i="112"/>
  <c r="N45" i="112"/>
  <c r="C45" i="112"/>
  <c r="K44" i="112"/>
  <c r="G44" i="112"/>
  <c r="C44" i="112"/>
  <c r="K43" i="112"/>
  <c r="G43" i="112"/>
  <c r="C43" i="112"/>
  <c r="K42" i="112"/>
  <c r="G42" i="112"/>
  <c r="C42" i="112"/>
  <c r="U41" i="112"/>
  <c r="K41" i="112"/>
  <c r="G41" i="112"/>
  <c r="C41" i="112"/>
  <c r="X40" i="112"/>
  <c r="U40" i="112"/>
  <c r="K40" i="112"/>
  <c r="G40" i="112"/>
  <c r="C40" i="112"/>
  <c r="N39" i="112"/>
  <c r="C39" i="112"/>
  <c r="N38" i="112"/>
  <c r="C38" i="112"/>
  <c r="K37" i="112"/>
  <c r="C37" i="112"/>
  <c r="K36" i="112"/>
  <c r="C36" i="112"/>
  <c r="K35" i="112"/>
  <c r="G35" i="112"/>
  <c r="C35" i="112"/>
  <c r="U34" i="112"/>
  <c r="K34" i="112"/>
  <c r="G34" i="112"/>
  <c r="C34" i="112"/>
  <c r="X33" i="112"/>
  <c r="U33" i="112"/>
  <c r="K33" i="112"/>
  <c r="C33" i="112"/>
  <c r="N32" i="112"/>
  <c r="C32" i="112"/>
  <c r="N31" i="112"/>
  <c r="C31" i="112"/>
  <c r="K30" i="112"/>
  <c r="C30" i="112"/>
  <c r="K29" i="112"/>
  <c r="G29" i="112"/>
  <c r="C29" i="112"/>
  <c r="K28" i="112"/>
  <c r="G28" i="112"/>
  <c r="C28" i="112"/>
  <c r="U27" i="112"/>
  <c r="K27" i="112"/>
  <c r="G27" i="112"/>
  <c r="C27" i="112"/>
  <c r="X26" i="112"/>
  <c r="U26" i="112"/>
  <c r="K26" i="112"/>
  <c r="G26" i="112"/>
  <c r="C26" i="112"/>
  <c r="N25" i="112"/>
  <c r="C25" i="112"/>
  <c r="N24" i="112"/>
  <c r="C24" i="112"/>
  <c r="K23" i="112"/>
  <c r="G23" i="112"/>
  <c r="C23" i="112"/>
  <c r="K22" i="112"/>
  <c r="G22" i="112"/>
  <c r="C22" i="112"/>
  <c r="K21" i="112"/>
  <c r="G21" i="112"/>
  <c r="C21" i="112"/>
  <c r="U20" i="112"/>
  <c r="K20" i="112"/>
  <c r="G20" i="112"/>
  <c r="X19" i="112"/>
  <c r="U19" i="112"/>
  <c r="K19" i="112"/>
  <c r="G19" i="112"/>
  <c r="C19" i="112"/>
  <c r="N18" i="112"/>
  <c r="C18" i="112"/>
  <c r="N17" i="112"/>
  <c r="C17" i="112"/>
  <c r="K16" i="112"/>
  <c r="G16" i="112"/>
  <c r="C16" i="112"/>
  <c r="K15" i="112"/>
  <c r="G15" i="112"/>
  <c r="C15" i="112"/>
  <c r="K14" i="112"/>
  <c r="G14" i="112"/>
  <c r="U13" i="112"/>
  <c r="K13" i="112"/>
  <c r="G13" i="112"/>
  <c r="X12" i="112"/>
  <c r="U12" i="112"/>
  <c r="K12" i="112"/>
  <c r="G12" i="112"/>
  <c r="C12" i="112"/>
  <c r="N11" i="112"/>
  <c r="C11" i="112"/>
  <c r="N10" i="112"/>
  <c r="C10" i="112"/>
  <c r="K9" i="112"/>
  <c r="G9" i="112"/>
  <c r="C9" i="112"/>
  <c r="U8" i="112"/>
  <c r="K8" i="112"/>
  <c r="G8" i="112"/>
  <c r="U7" i="112"/>
  <c r="K7" i="112"/>
  <c r="C7" i="112"/>
  <c r="N47" i="112" l="1"/>
  <c r="N48" i="112"/>
  <c r="N41" i="112"/>
  <c r="N16" i="112"/>
  <c r="N15" i="112"/>
  <c r="N12" i="112"/>
  <c r="N36" i="112"/>
  <c r="N21" i="112"/>
  <c r="N33" i="112"/>
  <c r="N28" i="112"/>
  <c r="N43" i="112"/>
  <c r="N13" i="112"/>
  <c r="N42" i="112"/>
  <c r="N27" i="112"/>
  <c r="N29" i="112"/>
  <c r="N34" i="112"/>
  <c r="N14" i="112"/>
  <c r="N9" i="112"/>
  <c r="N20" i="112"/>
  <c r="N40" i="112"/>
  <c r="N37" i="112"/>
  <c r="N44" i="112"/>
  <c r="N26" i="112"/>
  <c r="N30" i="112"/>
  <c r="N23" i="112"/>
  <c r="N8" i="112"/>
  <c r="N19" i="112"/>
  <c r="N22" i="112"/>
  <c r="N35" i="112"/>
  <c r="N7" i="112"/>
  <c r="D49" i="111" l="1"/>
  <c r="K62" i="110" l="1"/>
  <c r="K61" i="110"/>
  <c r="G62" i="110"/>
  <c r="N62" i="110" s="1"/>
  <c r="G61" i="110"/>
  <c r="G41" i="111"/>
  <c r="K41" i="111"/>
  <c r="N61" i="110" l="1"/>
  <c r="D42" i="111"/>
  <c r="D35" i="111" l="1"/>
  <c r="D28" i="111" l="1"/>
  <c r="D22" i="111" l="1"/>
  <c r="D14" i="111" l="1"/>
  <c r="E211" i="2" l="1"/>
  <c r="D211" i="2"/>
  <c r="D7" i="111" l="1"/>
  <c r="G63" i="111" l="1"/>
  <c r="G62" i="111"/>
  <c r="G61" i="111"/>
  <c r="K55" i="111"/>
  <c r="G55" i="111"/>
  <c r="C55" i="111"/>
  <c r="K54" i="111"/>
  <c r="G54" i="111"/>
  <c r="C54" i="111"/>
  <c r="N53" i="111"/>
  <c r="C53" i="111"/>
  <c r="N52" i="111"/>
  <c r="C52" i="111"/>
  <c r="K51" i="111"/>
  <c r="G51" i="111"/>
  <c r="C51" i="111"/>
  <c r="K50" i="111"/>
  <c r="G50" i="111"/>
  <c r="C50" i="111"/>
  <c r="K49" i="111"/>
  <c r="G49" i="111"/>
  <c r="C49" i="111"/>
  <c r="K48" i="111"/>
  <c r="G48" i="111"/>
  <c r="C48" i="111"/>
  <c r="U47" i="111"/>
  <c r="U48" i="111" s="1"/>
  <c r="K47" i="111"/>
  <c r="G47" i="111"/>
  <c r="C47" i="111"/>
  <c r="K46" i="111"/>
  <c r="N46" i="111" s="1"/>
  <c r="C46" i="111"/>
  <c r="K45" i="111"/>
  <c r="N45" i="111" s="1"/>
  <c r="C45" i="111"/>
  <c r="K44" i="111"/>
  <c r="G44" i="111"/>
  <c r="C44" i="111"/>
  <c r="K43" i="111"/>
  <c r="G43" i="111"/>
  <c r="C43" i="111"/>
  <c r="K42" i="111"/>
  <c r="G42" i="111"/>
  <c r="C42" i="111"/>
  <c r="U41" i="111"/>
  <c r="C41" i="111"/>
  <c r="X40" i="111"/>
  <c r="U40" i="111"/>
  <c r="K40" i="111"/>
  <c r="G40" i="111"/>
  <c r="C40" i="111"/>
  <c r="N39" i="111"/>
  <c r="C39" i="111"/>
  <c r="N38" i="111"/>
  <c r="C38" i="111"/>
  <c r="K37" i="111"/>
  <c r="G37" i="111"/>
  <c r="C37" i="111"/>
  <c r="K36" i="111"/>
  <c r="G36" i="111"/>
  <c r="C36" i="111"/>
  <c r="K35" i="111"/>
  <c r="G35" i="111"/>
  <c r="C35" i="111"/>
  <c r="U34" i="111"/>
  <c r="K34" i="111"/>
  <c r="G34" i="111"/>
  <c r="C34" i="111"/>
  <c r="X33" i="111"/>
  <c r="U33" i="111"/>
  <c r="K33" i="111"/>
  <c r="G33" i="111"/>
  <c r="C33" i="111"/>
  <c r="N32" i="111"/>
  <c r="C32" i="111"/>
  <c r="N31" i="111"/>
  <c r="C31" i="111"/>
  <c r="K30" i="111"/>
  <c r="G30" i="111"/>
  <c r="C30" i="111"/>
  <c r="K29" i="111"/>
  <c r="G29" i="111"/>
  <c r="C29" i="111"/>
  <c r="K28" i="111"/>
  <c r="G28" i="111"/>
  <c r="C28" i="111"/>
  <c r="U27" i="111"/>
  <c r="K27" i="111"/>
  <c r="G27" i="111"/>
  <c r="C27" i="111"/>
  <c r="X26" i="111"/>
  <c r="U26" i="111"/>
  <c r="K26" i="111"/>
  <c r="G26" i="111"/>
  <c r="C26" i="111"/>
  <c r="N25" i="111"/>
  <c r="C25" i="111"/>
  <c r="N24" i="111"/>
  <c r="C24" i="111"/>
  <c r="K23" i="111"/>
  <c r="G23" i="111"/>
  <c r="C23" i="111"/>
  <c r="K22" i="111"/>
  <c r="G22" i="111"/>
  <c r="C22" i="111"/>
  <c r="K21" i="111"/>
  <c r="G21" i="111"/>
  <c r="C21" i="111"/>
  <c r="U20" i="111"/>
  <c r="K20" i="111"/>
  <c r="G20" i="111"/>
  <c r="X19" i="111"/>
  <c r="U19" i="111"/>
  <c r="K19" i="111"/>
  <c r="G19" i="111"/>
  <c r="C19" i="111"/>
  <c r="N18" i="111"/>
  <c r="C18" i="111"/>
  <c r="N17" i="111"/>
  <c r="C17" i="111"/>
  <c r="K16" i="111"/>
  <c r="G16" i="111"/>
  <c r="C16" i="111"/>
  <c r="K15" i="111"/>
  <c r="G15" i="111"/>
  <c r="C15" i="111"/>
  <c r="K14" i="111"/>
  <c r="G14" i="111"/>
  <c r="U13" i="111"/>
  <c r="K13" i="111"/>
  <c r="G13" i="111"/>
  <c r="X12" i="111"/>
  <c r="U12" i="111"/>
  <c r="K12" i="111"/>
  <c r="G12" i="111"/>
  <c r="C12" i="111"/>
  <c r="N11" i="111"/>
  <c r="C11" i="111"/>
  <c r="N10" i="111"/>
  <c r="C10" i="111"/>
  <c r="K9" i="111"/>
  <c r="G9" i="111"/>
  <c r="C9" i="111"/>
  <c r="U8" i="111"/>
  <c r="K8" i="111"/>
  <c r="G8" i="111"/>
  <c r="X7" i="111"/>
  <c r="U7" i="111"/>
  <c r="K7" i="111"/>
  <c r="C7" i="111"/>
  <c r="G7" i="111" l="1"/>
  <c r="N7" i="111" s="1"/>
  <c r="N21" i="111"/>
  <c r="N33" i="111"/>
  <c r="N35" i="111"/>
  <c r="N34" i="111"/>
  <c r="N20" i="111"/>
  <c r="N19" i="111"/>
  <c r="N9" i="111"/>
  <c r="N13" i="111"/>
  <c r="N22" i="111"/>
  <c r="N36" i="111"/>
  <c r="N47" i="111"/>
  <c r="N40" i="111"/>
  <c r="N50" i="111"/>
  <c r="N54" i="111"/>
  <c r="N43" i="111"/>
  <c r="N27" i="111"/>
  <c r="N26" i="111"/>
  <c r="N23" i="111"/>
  <c r="N8" i="111"/>
  <c r="N16" i="111"/>
  <c r="N29" i="111"/>
  <c r="N41" i="111"/>
  <c r="N48" i="111"/>
  <c r="N51" i="111"/>
  <c r="N30" i="111"/>
  <c r="N37" i="111"/>
  <c r="N44" i="111"/>
  <c r="N12" i="111"/>
  <c r="N55" i="111"/>
  <c r="N14" i="111"/>
  <c r="N49" i="111"/>
  <c r="N28" i="111"/>
  <c r="N42" i="111"/>
  <c r="N15" i="111"/>
  <c r="D56" i="110" l="1"/>
  <c r="G54" i="110" l="1"/>
  <c r="D49" i="110" l="1"/>
  <c r="U47" i="110" l="1"/>
  <c r="U48" i="110" s="1"/>
  <c r="D43" i="110" l="1"/>
  <c r="D42" i="110" l="1"/>
  <c r="D35" i="110" l="1"/>
  <c r="D28" i="110" l="1"/>
  <c r="D21" i="110" l="1"/>
  <c r="X7" i="110" l="1"/>
  <c r="X12" i="110"/>
  <c r="D14" i="110" l="1"/>
  <c r="D15" i="110"/>
  <c r="G8" i="110" l="1"/>
  <c r="E210" i="2" l="1"/>
  <c r="D210" i="2"/>
  <c r="D7" i="110" l="1"/>
  <c r="G70" i="110" l="1"/>
  <c r="G69" i="110"/>
  <c r="G68" i="110"/>
  <c r="G7" i="110" s="1"/>
  <c r="U55" i="110" l="1"/>
  <c r="U54" i="110"/>
  <c r="C59" i="110"/>
  <c r="C60" i="110"/>
  <c r="C61" i="110"/>
  <c r="C62" i="110"/>
  <c r="C49" i="110"/>
  <c r="G49" i="110"/>
  <c r="K49" i="110"/>
  <c r="C50" i="110"/>
  <c r="G50" i="110"/>
  <c r="K50" i="110"/>
  <c r="C51" i="110"/>
  <c r="G51" i="110"/>
  <c r="K51" i="110"/>
  <c r="C52" i="110"/>
  <c r="C53" i="110"/>
  <c r="C54" i="110"/>
  <c r="K54" i="110"/>
  <c r="C55" i="110"/>
  <c r="G55" i="110"/>
  <c r="K55" i="110"/>
  <c r="C56" i="110"/>
  <c r="G56" i="110"/>
  <c r="K56" i="110"/>
  <c r="C57" i="110"/>
  <c r="G57" i="110"/>
  <c r="K57" i="110"/>
  <c r="C58" i="110"/>
  <c r="G58" i="110"/>
  <c r="K58" i="110"/>
  <c r="K48" i="110"/>
  <c r="G48" i="110"/>
  <c r="C48" i="110"/>
  <c r="K47" i="110"/>
  <c r="G47" i="110"/>
  <c r="C47" i="110"/>
  <c r="K46" i="110"/>
  <c r="N46" i="110" s="1"/>
  <c r="C46" i="110"/>
  <c r="K45" i="110"/>
  <c r="N45" i="110" s="1"/>
  <c r="C45" i="110"/>
  <c r="K44" i="110"/>
  <c r="G44" i="110"/>
  <c r="C44" i="110"/>
  <c r="K43" i="110"/>
  <c r="G43" i="110"/>
  <c r="C43" i="110"/>
  <c r="K42" i="110"/>
  <c r="G42" i="110"/>
  <c r="C42" i="110"/>
  <c r="U41" i="110"/>
  <c r="K41" i="110"/>
  <c r="G41" i="110"/>
  <c r="C41" i="110"/>
  <c r="X40" i="110"/>
  <c r="U40" i="110"/>
  <c r="K40" i="110"/>
  <c r="G40" i="110"/>
  <c r="C40" i="110"/>
  <c r="N39" i="110"/>
  <c r="C39" i="110"/>
  <c r="N38" i="110"/>
  <c r="C38" i="110"/>
  <c r="K37" i="110"/>
  <c r="G37" i="110"/>
  <c r="C37" i="110"/>
  <c r="K36" i="110"/>
  <c r="G36" i="110"/>
  <c r="C36" i="110"/>
  <c r="K35" i="110"/>
  <c r="G35" i="110"/>
  <c r="C35" i="110"/>
  <c r="U34" i="110"/>
  <c r="K34" i="110"/>
  <c r="G34" i="110"/>
  <c r="C34" i="110"/>
  <c r="X33" i="110"/>
  <c r="U33" i="110"/>
  <c r="K33" i="110"/>
  <c r="G33" i="110"/>
  <c r="C33" i="110"/>
  <c r="N32" i="110"/>
  <c r="C32" i="110"/>
  <c r="N31" i="110"/>
  <c r="C31" i="110"/>
  <c r="K30" i="110"/>
  <c r="G30" i="110"/>
  <c r="C30" i="110"/>
  <c r="K29" i="110"/>
  <c r="G29" i="110"/>
  <c r="C29" i="110"/>
  <c r="K28" i="110"/>
  <c r="G28" i="110"/>
  <c r="C28" i="110"/>
  <c r="U27" i="110"/>
  <c r="K27" i="110"/>
  <c r="G27" i="110"/>
  <c r="C27" i="110"/>
  <c r="X26" i="110"/>
  <c r="U26" i="110"/>
  <c r="K26" i="110"/>
  <c r="G26" i="110"/>
  <c r="C26" i="110"/>
  <c r="N25" i="110"/>
  <c r="C25" i="110"/>
  <c r="N24" i="110"/>
  <c r="C24" i="110"/>
  <c r="K23" i="110"/>
  <c r="G23" i="110"/>
  <c r="C23" i="110"/>
  <c r="K22" i="110"/>
  <c r="G22" i="110"/>
  <c r="C22" i="110"/>
  <c r="K21" i="110"/>
  <c r="G21" i="110"/>
  <c r="C21" i="110"/>
  <c r="U20" i="110"/>
  <c r="K20" i="110"/>
  <c r="G20" i="110"/>
  <c r="X19" i="110"/>
  <c r="U19" i="110"/>
  <c r="K19" i="110"/>
  <c r="G19" i="110"/>
  <c r="C19" i="110"/>
  <c r="N18" i="110"/>
  <c r="C18" i="110"/>
  <c r="N17" i="110"/>
  <c r="C17" i="110"/>
  <c r="K16" i="110"/>
  <c r="G16" i="110"/>
  <c r="C16" i="110"/>
  <c r="K15" i="110"/>
  <c r="G15" i="110"/>
  <c r="C15" i="110"/>
  <c r="K14" i="110"/>
  <c r="G14" i="110"/>
  <c r="U13" i="110"/>
  <c r="K13" i="110"/>
  <c r="G13" i="110"/>
  <c r="U12" i="110"/>
  <c r="K12" i="110"/>
  <c r="G12" i="110"/>
  <c r="C12" i="110"/>
  <c r="N11" i="110"/>
  <c r="C11" i="110"/>
  <c r="N10" i="110"/>
  <c r="C10" i="110"/>
  <c r="K9" i="110"/>
  <c r="G9" i="110"/>
  <c r="C9" i="110"/>
  <c r="U8" i="110"/>
  <c r="K8" i="110"/>
  <c r="U7" i="110"/>
  <c r="K7" i="110"/>
  <c r="C7" i="110"/>
  <c r="N58" i="110" l="1"/>
  <c r="N47" i="110"/>
  <c r="N57" i="110"/>
  <c r="N56" i="110"/>
  <c r="N50" i="110"/>
  <c r="N44" i="110"/>
  <c r="N35" i="110"/>
  <c r="N33" i="110"/>
  <c r="N27" i="110"/>
  <c r="N22" i="110"/>
  <c r="N20" i="110"/>
  <c r="N19" i="110"/>
  <c r="N12" i="110"/>
  <c r="N9" i="110"/>
  <c r="N15" i="110"/>
  <c r="N52" i="110"/>
  <c r="N40" i="110"/>
  <c r="N51" i="110"/>
  <c r="N59" i="110"/>
  <c r="N23" i="110"/>
  <c r="N37" i="110"/>
  <c r="N54" i="110"/>
  <c r="N49" i="110"/>
  <c r="N26" i="110"/>
  <c r="N53" i="110"/>
  <c r="N13" i="110"/>
  <c r="N36" i="110"/>
  <c r="N55" i="110"/>
  <c r="N34" i="110"/>
  <c r="N30" i="110"/>
  <c r="N60" i="110"/>
  <c r="N8" i="110"/>
  <c r="N48" i="110"/>
  <c r="N16" i="110"/>
  <c r="N43" i="110"/>
  <c r="N29" i="110"/>
  <c r="N41" i="110"/>
  <c r="N21" i="110"/>
  <c r="N28" i="110"/>
  <c r="N42" i="110"/>
  <c r="N14" i="110"/>
  <c r="N7" i="110"/>
  <c r="D42" i="109" l="1"/>
  <c r="D35" i="109" l="1"/>
  <c r="D28" i="109" l="1"/>
  <c r="K23" i="109" l="1"/>
  <c r="K26" i="109"/>
  <c r="D22" i="109" l="1"/>
  <c r="D21" i="109" l="1"/>
  <c r="D14" i="109" l="1"/>
  <c r="G9" i="109" l="1"/>
  <c r="D7" i="109" l="1"/>
  <c r="E209" i="2" l="1"/>
  <c r="D209" i="2"/>
  <c r="G48" i="107" l="1"/>
  <c r="G55" i="109"/>
  <c r="G54" i="109"/>
  <c r="G53" i="109"/>
  <c r="G7" i="109" s="1"/>
  <c r="X40" i="109"/>
  <c r="U41" i="109"/>
  <c r="U40" i="109"/>
  <c r="G47" i="109"/>
  <c r="C42" i="109"/>
  <c r="C43" i="109"/>
  <c r="C44" i="109"/>
  <c r="C45" i="109"/>
  <c r="C46" i="109"/>
  <c r="C47" i="109"/>
  <c r="C48" i="109"/>
  <c r="K48" i="109"/>
  <c r="G48" i="109"/>
  <c r="K47" i="109"/>
  <c r="K46" i="109"/>
  <c r="K45" i="109"/>
  <c r="N45" i="109" s="1"/>
  <c r="K44" i="109"/>
  <c r="G44" i="109"/>
  <c r="K43" i="109"/>
  <c r="G43" i="109"/>
  <c r="K42" i="109"/>
  <c r="G42" i="109"/>
  <c r="K41" i="109"/>
  <c r="G41" i="109"/>
  <c r="C41" i="109"/>
  <c r="K40" i="109"/>
  <c r="G40" i="109"/>
  <c r="C40" i="109"/>
  <c r="N39" i="109"/>
  <c r="C39" i="109"/>
  <c r="N38" i="109"/>
  <c r="C38" i="109"/>
  <c r="K37" i="109"/>
  <c r="G37" i="109"/>
  <c r="C37" i="109"/>
  <c r="K36" i="109"/>
  <c r="G36" i="109"/>
  <c r="C36" i="109"/>
  <c r="K35" i="109"/>
  <c r="G35" i="109"/>
  <c r="C35" i="109"/>
  <c r="U34" i="109"/>
  <c r="K34" i="109"/>
  <c r="G34" i="109"/>
  <c r="C34" i="109"/>
  <c r="X33" i="109"/>
  <c r="U33" i="109"/>
  <c r="K33" i="109"/>
  <c r="G33" i="109"/>
  <c r="C33" i="109"/>
  <c r="N32" i="109"/>
  <c r="C32" i="109"/>
  <c r="N31" i="109"/>
  <c r="C31" i="109"/>
  <c r="K30" i="109"/>
  <c r="G30" i="109"/>
  <c r="C30" i="109"/>
  <c r="K29" i="109"/>
  <c r="G29" i="109"/>
  <c r="C29" i="109"/>
  <c r="K28" i="109"/>
  <c r="G28" i="109"/>
  <c r="C28" i="109"/>
  <c r="U27" i="109"/>
  <c r="K27" i="109"/>
  <c r="G27" i="109"/>
  <c r="C27" i="109"/>
  <c r="X26" i="109"/>
  <c r="U26" i="109"/>
  <c r="G26" i="109"/>
  <c r="C26" i="109"/>
  <c r="N25" i="109"/>
  <c r="C25" i="109"/>
  <c r="N24" i="109"/>
  <c r="C24" i="109"/>
  <c r="G23" i="109"/>
  <c r="C23" i="109"/>
  <c r="K22" i="109"/>
  <c r="G22" i="109"/>
  <c r="C22" i="109"/>
  <c r="K21" i="109"/>
  <c r="G21" i="109"/>
  <c r="C21" i="109"/>
  <c r="U20" i="109"/>
  <c r="K20" i="109"/>
  <c r="G20" i="109"/>
  <c r="X19" i="109"/>
  <c r="U19" i="109"/>
  <c r="K19" i="109"/>
  <c r="G19" i="109"/>
  <c r="C19" i="109"/>
  <c r="N18" i="109"/>
  <c r="C18" i="109"/>
  <c r="N17" i="109"/>
  <c r="C17" i="109"/>
  <c r="K16" i="109"/>
  <c r="G16" i="109"/>
  <c r="C16" i="109"/>
  <c r="K15" i="109"/>
  <c r="G15" i="109"/>
  <c r="C15" i="109"/>
  <c r="K14" i="109"/>
  <c r="G14" i="109"/>
  <c r="U13" i="109"/>
  <c r="K13" i="109"/>
  <c r="G13" i="109"/>
  <c r="X12" i="109"/>
  <c r="U12" i="109"/>
  <c r="K12" i="109"/>
  <c r="G12" i="109"/>
  <c r="C12" i="109"/>
  <c r="N11" i="109"/>
  <c r="C11" i="109"/>
  <c r="N10" i="109"/>
  <c r="C10" i="109"/>
  <c r="K9" i="109"/>
  <c r="C9" i="109"/>
  <c r="U8" i="109"/>
  <c r="K8" i="109"/>
  <c r="G8" i="109"/>
  <c r="X7" i="109"/>
  <c r="U7" i="109"/>
  <c r="K7" i="109"/>
  <c r="C7" i="109"/>
  <c r="N44" i="109" l="1"/>
  <c r="N43" i="109"/>
  <c r="N40" i="109"/>
  <c r="N29" i="109"/>
  <c r="N27" i="109"/>
  <c r="N33" i="109"/>
  <c r="N23" i="109"/>
  <c r="N15" i="109"/>
  <c r="N9" i="109"/>
  <c r="N12" i="109"/>
  <c r="N47" i="109"/>
  <c r="N48" i="109"/>
  <c r="N46" i="109"/>
  <c r="N42" i="109"/>
  <c r="N22" i="109"/>
  <c r="N37" i="109"/>
  <c r="N16" i="109"/>
  <c r="N41" i="109"/>
  <c r="N7" i="109"/>
  <c r="N28" i="109"/>
  <c r="N13" i="109"/>
  <c r="N26" i="109"/>
  <c r="N30" i="109"/>
  <c r="N8" i="109"/>
  <c r="N19" i="109"/>
  <c r="N36" i="109"/>
  <c r="N20" i="109"/>
  <c r="N34" i="109"/>
  <c r="N14" i="109"/>
  <c r="N21" i="109"/>
  <c r="N35" i="109"/>
  <c r="D35" i="107" l="1"/>
  <c r="D29" i="107" l="1"/>
  <c r="D28" i="107" l="1"/>
  <c r="D21" i="107" l="1"/>
  <c r="D14" i="107" l="1"/>
  <c r="G12" i="107" l="1"/>
  <c r="G54" i="106" l="1"/>
  <c r="E208" i="2"/>
  <c r="D208" i="2"/>
  <c r="D7" i="107" l="1"/>
  <c r="L44" i="106" l="1"/>
  <c r="D50" i="106" l="1"/>
  <c r="D49" i="106" l="1"/>
  <c r="G47" i="107" l="1"/>
  <c r="G46" i="107"/>
  <c r="K41" i="107"/>
  <c r="G41" i="107"/>
  <c r="C41" i="107"/>
  <c r="K40" i="107"/>
  <c r="G40" i="107"/>
  <c r="C40" i="107"/>
  <c r="N39" i="107"/>
  <c r="C39" i="107"/>
  <c r="N38" i="107"/>
  <c r="C38" i="107"/>
  <c r="K37" i="107"/>
  <c r="G37" i="107"/>
  <c r="C37" i="107"/>
  <c r="K36" i="107"/>
  <c r="G36" i="107"/>
  <c r="C36" i="107"/>
  <c r="K35" i="107"/>
  <c r="G35" i="107"/>
  <c r="C35" i="107"/>
  <c r="U34" i="107"/>
  <c r="K34" i="107"/>
  <c r="G34" i="107"/>
  <c r="C34" i="107"/>
  <c r="X33" i="107"/>
  <c r="U33" i="107"/>
  <c r="K33" i="107"/>
  <c r="G33" i="107"/>
  <c r="C33" i="107"/>
  <c r="N32" i="107"/>
  <c r="C32" i="107"/>
  <c r="K31" i="107"/>
  <c r="N31" i="107" s="1"/>
  <c r="C31" i="107"/>
  <c r="K30" i="107"/>
  <c r="G30" i="107"/>
  <c r="C30" i="107"/>
  <c r="K29" i="107"/>
  <c r="G29" i="107"/>
  <c r="C29" i="107"/>
  <c r="K28" i="107"/>
  <c r="G28" i="107"/>
  <c r="C28" i="107"/>
  <c r="U27" i="107"/>
  <c r="K27" i="107"/>
  <c r="G27" i="107"/>
  <c r="C27" i="107"/>
  <c r="X26" i="107"/>
  <c r="U26" i="107"/>
  <c r="K26" i="107"/>
  <c r="G26" i="107"/>
  <c r="C26" i="107"/>
  <c r="N25" i="107"/>
  <c r="C25" i="107"/>
  <c r="N24" i="107"/>
  <c r="C24" i="107"/>
  <c r="K23" i="107"/>
  <c r="G23" i="107"/>
  <c r="C23" i="107"/>
  <c r="K22" i="107"/>
  <c r="G22" i="107"/>
  <c r="C22" i="107"/>
  <c r="K21" i="107"/>
  <c r="G21" i="107"/>
  <c r="C21" i="107"/>
  <c r="U20" i="107"/>
  <c r="K20" i="107"/>
  <c r="G20" i="107"/>
  <c r="X19" i="107"/>
  <c r="U19" i="107"/>
  <c r="K19" i="107"/>
  <c r="G19" i="107"/>
  <c r="C19" i="107"/>
  <c r="N18" i="107"/>
  <c r="C18" i="107"/>
  <c r="N17" i="107"/>
  <c r="C17" i="107"/>
  <c r="K16" i="107"/>
  <c r="G16" i="107"/>
  <c r="C16" i="107"/>
  <c r="K15" i="107"/>
  <c r="G15" i="107"/>
  <c r="C15" i="107"/>
  <c r="K14" i="107"/>
  <c r="G14" i="107"/>
  <c r="U13" i="107"/>
  <c r="K13" i="107"/>
  <c r="G13" i="107"/>
  <c r="X12" i="107"/>
  <c r="U12" i="107"/>
  <c r="K12" i="107"/>
  <c r="C12" i="107"/>
  <c r="N11" i="107"/>
  <c r="C11" i="107"/>
  <c r="N10" i="107"/>
  <c r="C10" i="107"/>
  <c r="K9" i="107"/>
  <c r="G9" i="107"/>
  <c r="C9" i="107"/>
  <c r="U8" i="107"/>
  <c r="K8" i="107"/>
  <c r="G8" i="107"/>
  <c r="X7" i="107"/>
  <c r="U7" i="107"/>
  <c r="K7" i="107"/>
  <c r="C7" i="107"/>
  <c r="N28" i="107" l="1"/>
  <c r="N16" i="107"/>
  <c r="N33" i="107"/>
  <c r="N40" i="107"/>
  <c r="N29" i="107"/>
  <c r="G7" i="107"/>
  <c r="N7" i="107" s="1"/>
  <c r="N14" i="107"/>
  <c r="N22" i="107"/>
  <c r="N13" i="107"/>
  <c r="N12" i="107"/>
  <c r="N20" i="107"/>
  <c r="N30" i="107"/>
  <c r="N9" i="107"/>
  <c r="N26" i="107"/>
  <c r="N15" i="107"/>
  <c r="N23" i="107"/>
  <c r="N19" i="107"/>
  <c r="N36" i="107"/>
  <c r="N41" i="107"/>
  <c r="N34" i="107"/>
  <c r="N27" i="107"/>
  <c r="N37" i="107"/>
  <c r="N35" i="107"/>
  <c r="N8" i="107"/>
  <c r="N21" i="107"/>
  <c r="D42" i="106" l="1"/>
  <c r="D35" i="106" l="1"/>
  <c r="I29" i="106"/>
  <c r="X29" i="106" l="1"/>
  <c r="X26" i="106"/>
  <c r="D28" i="106" l="1"/>
  <c r="D21" i="106" l="1"/>
  <c r="K15" i="106" l="1"/>
  <c r="G16" i="106"/>
  <c r="K16" i="106"/>
  <c r="N17" i="106"/>
  <c r="N18" i="106"/>
  <c r="G19" i="106"/>
  <c r="K19" i="106"/>
  <c r="G20" i="106"/>
  <c r="K20" i="106"/>
  <c r="G21" i="106"/>
  <c r="K21" i="106"/>
  <c r="G22" i="106"/>
  <c r="K22" i="106"/>
  <c r="G23" i="106"/>
  <c r="K23" i="106"/>
  <c r="N24" i="106"/>
  <c r="N25" i="106"/>
  <c r="G26" i="106"/>
  <c r="K26" i="106"/>
  <c r="G27" i="106"/>
  <c r="K27" i="106"/>
  <c r="G28" i="106"/>
  <c r="K28" i="106"/>
  <c r="G29" i="106"/>
  <c r="K29" i="106"/>
  <c r="N30" i="106"/>
  <c r="N31" i="106"/>
  <c r="N32" i="106"/>
  <c r="N33" i="106"/>
  <c r="G34" i="106"/>
  <c r="K34" i="106"/>
  <c r="G35" i="106"/>
  <c r="K35" i="106"/>
  <c r="G36" i="106"/>
  <c r="K36" i="106"/>
  <c r="G37" i="106"/>
  <c r="K37" i="106"/>
  <c r="N38" i="106"/>
  <c r="N39" i="106"/>
  <c r="G40" i="106"/>
  <c r="K40" i="106"/>
  <c r="G41" i="106"/>
  <c r="K41" i="106"/>
  <c r="D15" i="106"/>
  <c r="G15" i="106" s="1"/>
  <c r="N15" i="106" l="1"/>
  <c r="N40" i="106"/>
  <c r="N36" i="106"/>
  <c r="N37" i="106"/>
  <c r="N41" i="106"/>
  <c r="N35" i="106"/>
  <c r="N34" i="106"/>
  <c r="N26" i="106"/>
  <c r="N22" i="106"/>
  <c r="N28" i="106"/>
  <c r="N20" i="106"/>
  <c r="N29" i="106"/>
  <c r="N27" i="106"/>
  <c r="N21" i="106"/>
  <c r="N23" i="106"/>
  <c r="N19" i="106"/>
  <c r="N16" i="106"/>
  <c r="D14" i="106"/>
  <c r="E207" i="2" l="1"/>
  <c r="D207" i="2" l="1"/>
  <c r="D7" i="106" l="1"/>
  <c r="G62" i="106" l="1"/>
  <c r="G61" i="106"/>
  <c r="G60" i="106"/>
  <c r="K55" i="106" l="1"/>
  <c r="G55" i="106"/>
  <c r="C55" i="106"/>
  <c r="K54" i="106"/>
  <c r="C54" i="106"/>
  <c r="N53" i="106"/>
  <c r="C53" i="106"/>
  <c r="N52" i="106"/>
  <c r="C52" i="106"/>
  <c r="K51" i="106"/>
  <c r="N51" i="106" s="1"/>
  <c r="K50" i="106"/>
  <c r="G50" i="106"/>
  <c r="C50" i="106"/>
  <c r="K49" i="106"/>
  <c r="G49" i="106"/>
  <c r="C49" i="106"/>
  <c r="U48" i="106"/>
  <c r="K48" i="106"/>
  <c r="G48" i="106"/>
  <c r="C48" i="106"/>
  <c r="X47" i="106"/>
  <c r="U47" i="106"/>
  <c r="K47" i="106"/>
  <c r="G47" i="106"/>
  <c r="C47" i="106"/>
  <c r="N46" i="106"/>
  <c r="C46" i="106"/>
  <c r="N45" i="106"/>
  <c r="C45" i="106"/>
  <c r="K44" i="106"/>
  <c r="G44" i="106"/>
  <c r="C44" i="106"/>
  <c r="K43" i="106"/>
  <c r="G43" i="106"/>
  <c r="C43" i="106"/>
  <c r="K42" i="106"/>
  <c r="G42" i="106"/>
  <c r="C42" i="106"/>
  <c r="U41" i="106"/>
  <c r="C41" i="106"/>
  <c r="X40" i="106"/>
  <c r="U40" i="106"/>
  <c r="C40" i="106"/>
  <c r="C39" i="106"/>
  <c r="C38" i="106"/>
  <c r="C37" i="106"/>
  <c r="C36" i="106"/>
  <c r="C35" i="106"/>
  <c r="C34" i="106"/>
  <c r="C32" i="106"/>
  <c r="C31" i="106"/>
  <c r="C29" i="106"/>
  <c r="C28" i="106"/>
  <c r="U27" i="106"/>
  <c r="C27" i="106"/>
  <c r="U26" i="106"/>
  <c r="C26" i="106"/>
  <c r="C25" i="106"/>
  <c r="C24" i="106"/>
  <c r="C23" i="106"/>
  <c r="C22" i="106"/>
  <c r="C21" i="106"/>
  <c r="U20" i="106"/>
  <c r="X19" i="106"/>
  <c r="U19" i="106"/>
  <c r="C19" i="106"/>
  <c r="C18" i="106"/>
  <c r="C17" i="106"/>
  <c r="C16" i="106"/>
  <c r="C15" i="106"/>
  <c r="K14" i="106"/>
  <c r="G14" i="106"/>
  <c r="U13" i="106"/>
  <c r="K13" i="106"/>
  <c r="G13" i="106"/>
  <c r="X12" i="106"/>
  <c r="U12" i="106"/>
  <c r="K12" i="106"/>
  <c r="G12" i="106"/>
  <c r="C12" i="106"/>
  <c r="N11" i="106"/>
  <c r="C11" i="106"/>
  <c r="N10" i="106"/>
  <c r="C10" i="106"/>
  <c r="K9" i="106"/>
  <c r="G9" i="106"/>
  <c r="C9" i="106"/>
  <c r="U8" i="106"/>
  <c r="K8" i="106"/>
  <c r="G8" i="106"/>
  <c r="X7" i="106"/>
  <c r="U7" i="106"/>
  <c r="K7" i="106"/>
  <c r="G7" i="106"/>
  <c r="C7" i="106"/>
  <c r="N55" i="106" l="1"/>
  <c r="N54" i="106"/>
  <c r="N48" i="106"/>
  <c r="N47" i="106"/>
  <c r="N43" i="106"/>
  <c r="N42" i="106"/>
  <c r="N44" i="106"/>
  <c r="N12" i="106"/>
  <c r="N14" i="106"/>
  <c r="N13" i="106"/>
  <c r="N9" i="106"/>
  <c r="N50" i="106"/>
  <c r="N8" i="106"/>
  <c r="N49" i="106"/>
  <c r="N7" i="106"/>
  <c r="D49" i="105"/>
  <c r="D42" i="105" l="1"/>
  <c r="D36" i="105" l="1"/>
  <c r="D35" i="105" l="1"/>
  <c r="D28" i="105" l="1"/>
  <c r="D21" i="105" l="1"/>
  <c r="D14" i="105" l="1"/>
  <c r="D8" i="105" l="1"/>
  <c r="E206" i="2" l="1"/>
  <c r="G48" i="104"/>
  <c r="D206" i="2"/>
  <c r="D7" i="105" l="1"/>
  <c r="G62" i="105" l="1"/>
  <c r="G61" i="105"/>
  <c r="G60" i="105"/>
  <c r="K55" i="105"/>
  <c r="G55" i="105"/>
  <c r="C55" i="105"/>
  <c r="K54" i="105"/>
  <c r="G54" i="105"/>
  <c r="C54" i="105"/>
  <c r="G53" i="105"/>
  <c r="N53" i="105" s="1"/>
  <c r="C53" i="105"/>
  <c r="N52" i="105"/>
  <c r="C52" i="105"/>
  <c r="K51" i="105"/>
  <c r="G51" i="105"/>
  <c r="C51" i="105"/>
  <c r="K50" i="105"/>
  <c r="G50" i="105"/>
  <c r="C50" i="105"/>
  <c r="K49" i="105"/>
  <c r="G49" i="105"/>
  <c r="C49" i="105"/>
  <c r="U48" i="105"/>
  <c r="K48" i="105"/>
  <c r="G48" i="105"/>
  <c r="C48" i="105"/>
  <c r="X47" i="105"/>
  <c r="U47" i="105"/>
  <c r="K47" i="105"/>
  <c r="G47" i="105"/>
  <c r="C47" i="105"/>
  <c r="N46" i="105"/>
  <c r="C46" i="105"/>
  <c r="N45" i="105"/>
  <c r="C45" i="105"/>
  <c r="K44" i="105"/>
  <c r="G44" i="105"/>
  <c r="C44" i="105"/>
  <c r="K43" i="105"/>
  <c r="G43" i="105"/>
  <c r="C43" i="105"/>
  <c r="K42" i="105"/>
  <c r="G42" i="105"/>
  <c r="C42" i="105"/>
  <c r="U41" i="105"/>
  <c r="K41" i="105"/>
  <c r="G41" i="105"/>
  <c r="C41" i="105"/>
  <c r="X40" i="105"/>
  <c r="U40" i="105"/>
  <c r="K40" i="105"/>
  <c r="G40" i="105"/>
  <c r="C40" i="105"/>
  <c r="N39" i="105"/>
  <c r="C39" i="105"/>
  <c r="N38" i="105"/>
  <c r="C38" i="105"/>
  <c r="K37" i="105"/>
  <c r="G37" i="105"/>
  <c r="C37" i="105"/>
  <c r="K36" i="105"/>
  <c r="G36" i="105"/>
  <c r="C36" i="105"/>
  <c r="K35" i="105"/>
  <c r="G35" i="105"/>
  <c r="C35" i="105"/>
  <c r="U34" i="105"/>
  <c r="K34" i="105"/>
  <c r="G34" i="105"/>
  <c r="C34" i="105"/>
  <c r="X33" i="105"/>
  <c r="U33" i="105"/>
  <c r="K33" i="105"/>
  <c r="G33" i="105"/>
  <c r="C33" i="105"/>
  <c r="N32" i="105"/>
  <c r="C32" i="105"/>
  <c r="K31" i="105"/>
  <c r="N31" i="105" s="1"/>
  <c r="C31" i="105"/>
  <c r="K30" i="105"/>
  <c r="G30" i="105"/>
  <c r="C30" i="105"/>
  <c r="K29" i="105"/>
  <c r="G29" i="105"/>
  <c r="C29" i="105"/>
  <c r="K28" i="105"/>
  <c r="G28" i="105"/>
  <c r="C28" i="105"/>
  <c r="U27" i="105"/>
  <c r="K27" i="105"/>
  <c r="G27" i="105"/>
  <c r="C27" i="105"/>
  <c r="X26" i="105"/>
  <c r="U26" i="105"/>
  <c r="K26" i="105"/>
  <c r="G26" i="105"/>
  <c r="C26" i="105"/>
  <c r="N25" i="105"/>
  <c r="C25" i="105"/>
  <c r="N24" i="105"/>
  <c r="C24" i="105"/>
  <c r="K23" i="105"/>
  <c r="G23" i="105"/>
  <c r="C23" i="105"/>
  <c r="K22" i="105"/>
  <c r="G22" i="105"/>
  <c r="C22" i="105"/>
  <c r="K21" i="105"/>
  <c r="G21" i="105"/>
  <c r="C21" i="105"/>
  <c r="U20" i="105"/>
  <c r="K20" i="105"/>
  <c r="G20" i="105"/>
  <c r="X19" i="105"/>
  <c r="U19" i="105"/>
  <c r="K19" i="105"/>
  <c r="G19" i="105"/>
  <c r="C19" i="105"/>
  <c r="N18" i="105"/>
  <c r="C18" i="105"/>
  <c r="N17" i="105"/>
  <c r="C17" i="105"/>
  <c r="K16" i="105"/>
  <c r="G16" i="105"/>
  <c r="C16" i="105"/>
  <c r="K15" i="105"/>
  <c r="G15" i="105"/>
  <c r="C15" i="105"/>
  <c r="K14" i="105"/>
  <c r="G14" i="105"/>
  <c r="U13" i="105"/>
  <c r="K13" i="105"/>
  <c r="G13" i="105"/>
  <c r="X12" i="105"/>
  <c r="U12" i="105"/>
  <c r="K12" i="105"/>
  <c r="G12" i="105"/>
  <c r="C12" i="105"/>
  <c r="N11" i="105"/>
  <c r="C11" i="105"/>
  <c r="N10" i="105"/>
  <c r="C10" i="105"/>
  <c r="K9" i="105"/>
  <c r="G9" i="105"/>
  <c r="C9" i="105"/>
  <c r="U8" i="105"/>
  <c r="K8" i="105"/>
  <c r="G8" i="105"/>
  <c r="X7" i="105"/>
  <c r="U7" i="105"/>
  <c r="K7" i="105"/>
  <c r="G7" i="105"/>
  <c r="C7" i="105"/>
  <c r="N54" i="105" l="1"/>
  <c r="N51" i="105"/>
  <c r="N50" i="105"/>
  <c r="N44" i="105"/>
  <c r="N47" i="105"/>
  <c r="N43" i="105"/>
  <c r="N48" i="105"/>
  <c r="N40" i="105"/>
  <c r="N35" i="105"/>
  <c r="N22" i="105"/>
  <c r="N14" i="105"/>
  <c r="N9" i="105"/>
  <c r="N7" i="105"/>
  <c r="N20" i="105"/>
  <c r="N23" i="105"/>
  <c r="N28" i="105"/>
  <c r="N13" i="105"/>
  <c r="N29" i="105"/>
  <c r="N41" i="105"/>
  <c r="N26" i="105"/>
  <c r="N37" i="105"/>
  <c r="N49" i="105"/>
  <c r="N15" i="105"/>
  <c r="N30" i="105"/>
  <c r="N19" i="105"/>
  <c r="N21" i="105"/>
  <c r="N55" i="105"/>
  <c r="N16" i="105"/>
  <c r="N33" i="105"/>
  <c r="N27" i="105"/>
  <c r="N34" i="105"/>
  <c r="N12" i="105"/>
  <c r="N42" i="105"/>
  <c r="N36" i="105"/>
  <c r="N8" i="105"/>
  <c r="D42" i="104" l="1"/>
  <c r="D35" i="104" l="1"/>
  <c r="K37" i="104" l="1"/>
  <c r="D28" i="104" l="1"/>
  <c r="G20" i="104" l="1"/>
  <c r="D22" i="104" l="1"/>
  <c r="G22" i="104" s="1"/>
  <c r="Y19" i="104" l="1"/>
  <c r="Y12" i="104" l="1"/>
  <c r="G13" i="104"/>
  <c r="D12" i="104" l="1"/>
  <c r="G12" i="104" s="1"/>
  <c r="K20" i="104" l="1"/>
  <c r="K13" i="104"/>
  <c r="D8" i="104" l="1"/>
  <c r="E205" i="2" l="1"/>
  <c r="D205" i="2" l="1"/>
  <c r="D7" i="104" l="1"/>
  <c r="G55" i="103"/>
  <c r="G54" i="103"/>
  <c r="Y7" i="104" l="1"/>
  <c r="V40" i="104"/>
  <c r="V41" i="104" s="1"/>
  <c r="V33" i="104"/>
  <c r="V34" i="104" s="1"/>
  <c r="V26" i="104"/>
  <c r="V27" i="104" s="1"/>
  <c r="V19" i="104"/>
  <c r="V20" i="104" s="1"/>
  <c r="V12" i="104"/>
  <c r="V13" i="104" s="1"/>
  <c r="V7" i="104"/>
  <c r="V8" i="104" s="1"/>
  <c r="D49" i="103" l="1"/>
  <c r="G19" i="104" l="1"/>
  <c r="G16" i="104"/>
  <c r="G9" i="104"/>
  <c r="C31" i="104"/>
  <c r="G44" i="103" l="1"/>
  <c r="G47" i="104" l="1"/>
  <c r="C48" i="104"/>
  <c r="K48" i="104"/>
  <c r="G44" i="104"/>
  <c r="G53" i="104"/>
  <c r="G52" i="104"/>
  <c r="G7" i="104" s="1"/>
  <c r="D21" i="103"/>
  <c r="D28" i="103"/>
  <c r="D35" i="103"/>
  <c r="D36" i="103"/>
  <c r="D42" i="103"/>
  <c r="D7" i="103"/>
  <c r="D8" i="103"/>
  <c r="D14" i="103"/>
  <c r="K47" i="104"/>
  <c r="C47" i="104"/>
  <c r="N46" i="104"/>
  <c r="C46" i="104"/>
  <c r="N45" i="104"/>
  <c r="C45" i="104"/>
  <c r="K44" i="104"/>
  <c r="C44" i="104"/>
  <c r="K43" i="104"/>
  <c r="G43" i="104"/>
  <c r="C43" i="104"/>
  <c r="K42" i="104"/>
  <c r="G42" i="104"/>
  <c r="C42" i="104"/>
  <c r="K41" i="104"/>
  <c r="G41" i="104"/>
  <c r="C41" i="104"/>
  <c r="Y40" i="104"/>
  <c r="K40" i="104"/>
  <c r="G40" i="104"/>
  <c r="C40" i="104"/>
  <c r="N39" i="104"/>
  <c r="C39" i="104"/>
  <c r="N38" i="104"/>
  <c r="C38" i="104"/>
  <c r="G37" i="104"/>
  <c r="C37" i="104"/>
  <c r="K36" i="104"/>
  <c r="G36" i="104"/>
  <c r="C36" i="104"/>
  <c r="K35" i="104"/>
  <c r="G35" i="104"/>
  <c r="C35" i="104"/>
  <c r="K34" i="104"/>
  <c r="G34" i="104"/>
  <c r="C34" i="104"/>
  <c r="Y33" i="104"/>
  <c r="K33" i="104"/>
  <c r="G33" i="104"/>
  <c r="C33" i="104"/>
  <c r="N32" i="104"/>
  <c r="C32" i="104"/>
  <c r="N31" i="104"/>
  <c r="K30" i="104"/>
  <c r="G30" i="104"/>
  <c r="C30" i="104"/>
  <c r="K29" i="104"/>
  <c r="G29" i="104"/>
  <c r="C29" i="104"/>
  <c r="K28" i="104"/>
  <c r="G28" i="104"/>
  <c r="C28" i="104"/>
  <c r="K27" i="104"/>
  <c r="G27" i="104"/>
  <c r="C27" i="104"/>
  <c r="Y26" i="104"/>
  <c r="K26" i="104"/>
  <c r="G26" i="104"/>
  <c r="N25" i="104"/>
  <c r="C25" i="104"/>
  <c r="N24" i="104"/>
  <c r="K23" i="104"/>
  <c r="G23" i="104"/>
  <c r="C23" i="104"/>
  <c r="K22" i="104"/>
  <c r="C22" i="104"/>
  <c r="N20" i="104"/>
  <c r="K19" i="104"/>
  <c r="N18" i="104"/>
  <c r="C18" i="104"/>
  <c r="N17" i="104"/>
  <c r="K16" i="104"/>
  <c r="C16" i="104"/>
  <c r="N15" i="104"/>
  <c r="N14" i="104"/>
  <c r="N13" i="104"/>
  <c r="K12" i="104"/>
  <c r="N11" i="104"/>
  <c r="C11" i="104"/>
  <c r="N10" i="104"/>
  <c r="C10" i="104"/>
  <c r="K9" i="104"/>
  <c r="C9" i="104"/>
  <c r="K8" i="104"/>
  <c r="G8" i="104"/>
  <c r="K7" i="104"/>
  <c r="C7" i="104"/>
  <c r="N47" i="104" l="1"/>
  <c r="N29" i="104"/>
  <c r="N34" i="104"/>
  <c r="N48" i="104"/>
  <c r="N43" i="104"/>
  <c r="N33" i="104"/>
  <c r="N36" i="104"/>
  <c r="N35" i="104"/>
  <c r="N37" i="104"/>
  <c r="N27" i="104"/>
  <c r="N16" i="104"/>
  <c r="N41" i="104"/>
  <c r="N21" i="104"/>
  <c r="N8" i="104"/>
  <c r="N26" i="104"/>
  <c r="N30" i="104"/>
  <c r="N12" i="104"/>
  <c r="N19" i="104"/>
  <c r="N23" i="104"/>
  <c r="N28" i="104"/>
  <c r="N9" i="104"/>
  <c r="N22" i="104"/>
  <c r="N40" i="104"/>
  <c r="N44" i="104"/>
  <c r="N42" i="104"/>
  <c r="N7" i="104"/>
  <c r="L36" i="103" l="1"/>
  <c r="K31" i="103" l="1"/>
  <c r="E204" i="2" l="1"/>
  <c r="D204" i="2" l="1"/>
  <c r="G61" i="103" l="1"/>
  <c r="G60" i="103"/>
  <c r="X47" i="103"/>
  <c r="U48" i="103"/>
  <c r="U47" i="103"/>
  <c r="K55" i="103"/>
  <c r="C55" i="103"/>
  <c r="K54" i="103"/>
  <c r="C54" i="103"/>
  <c r="G53" i="103"/>
  <c r="C53" i="103"/>
  <c r="N52" i="103"/>
  <c r="C52" i="103"/>
  <c r="K51" i="103"/>
  <c r="G51" i="103"/>
  <c r="C51" i="103"/>
  <c r="K50" i="103"/>
  <c r="G50" i="103"/>
  <c r="C50" i="103"/>
  <c r="K49" i="103"/>
  <c r="G49" i="103"/>
  <c r="C49" i="103"/>
  <c r="K48" i="103"/>
  <c r="G48" i="103"/>
  <c r="C48" i="103"/>
  <c r="K47" i="103"/>
  <c r="G47" i="103"/>
  <c r="C47" i="103"/>
  <c r="N46" i="103"/>
  <c r="C46" i="103"/>
  <c r="N45" i="103"/>
  <c r="C45" i="103"/>
  <c r="K44" i="103"/>
  <c r="C44" i="103"/>
  <c r="K43" i="103"/>
  <c r="G43" i="103"/>
  <c r="C43" i="103"/>
  <c r="K42" i="103"/>
  <c r="G42" i="103"/>
  <c r="C42" i="103"/>
  <c r="U41" i="103"/>
  <c r="K41" i="103"/>
  <c r="G41" i="103"/>
  <c r="C41" i="103"/>
  <c r="X40" i="103"/>
  <c r="U40" i="103"/>
  <c r="K40" i="103"/>
  <c r="G40" i="103"/>
  <c r="C40" i="103"/>
  <c r="N39" i="103"/>
  <c r="C39" i="103"/>
  <c r="N38" i="103"/>
  <c r="C38" i="103"/>
  <c r="K37" i="103"/>
  <c r="G37" i="103"/>
  <c r="C37" i="103"/>
  <c r="K36" i="103"/>
  <c r="G36" i="103"/>
  <c r="C36" i="103"/>
  <c r="K35" i="103"/>
  <c r="G35" i="103"/>
  <c r="C35" i="103"/>
  <c r="U34" i="103"/>
  <c r="K34" i="103"/>
  <c r="G34" i="103"/>
  <c r="C34" i="103"/>
  <c r="X33" i="103"/>
  <c r="U33" i="103"/>
  <c r="K33" i="103"/>
  <c r="G33" i="103"/>
  <c r="C33" i="103"/>
  <c r="N32" i="103"/>
  <c r="C32" i="103"/>
  <c r="N31" i="103"/>
  <c r="C31" i="103"/>
  <c r="K30" i="103"/>
  <c r="G30" i="103"/>
  <c r="C30" i="103"/>
  <c r="K29" i="103"/>
  <c r="G29" i="103"/>
  <c r="C29" i="103"/>
  <c r="K28" i="103"/>
  <c r="G28" i="103"/>
  <c r="C28" i="103"/>
  <c r="U27" i="103"/>
  <c r="K27" i="103"/>
  <c r="G27" i="103"/>
  <c r="C27" i="103"/>
  <c r="X26" i="103"/>
  <c r="U26" i="103"/>
  <c r="K26" i="103"/>
  <c r="G26" i="103"/>
  <c r="C26" i="103"/>
  <c r="N25" i="103"/>
  <c r="C25" i="103"/>
  <c r="N24" i="103"/>
  <c r="C24" i="103"/>
  <c r="K23" i="103"/>
  <c r="G23" i="103"/>
  <c r="C23" i="103"/>
  <c r="K22" i="103"/>
  <c r="G22" i="103"/>
  <c r="C22" i="103"/>
  <c r="K21" i="103"/>
  <c r="G21" i="103"/>
  <c r="C21" i="103"/>
  <c r="U20" i="103"/>
  <c r="K20" i="103"/>
  <c r="G20" i="103"/>
  <c r="X19" i="103"/>
  <c r="U19" i="103"/>
  <c r="K19" i="103"/>
  <c r="G19" i="103"/>
  <c r="C19" i="103"/>
  <c r="N18" i="103"/>
  <c r="C18" i="103"/>
  <c r="N17" i="103"/>
  <c r="C17" i="103"/>
  <c r="K16" i="103"/>
  <c r="G16" i="103"/>
  <c r="C16" i="103"/>
  <c r="K15" i="103"/>
  <c r="G15" i="103"/>
  <c r="C15" i="103"/>
  <c r="K14" i="103"/>
  <c r="G14" i="103"/>
  <c r="U13" i="103"/>
  <c r="K13" i="103"/>
  <c r="G13" i="103"/>
  <c r="X12" i="103"/>
  <c r="U12" i="103"/>
  <c r="K12" i="103"/>
  <c r="G12" i="103"/>
  <c r="C12" i="103"/>
  <c r="N11" i="103"/>
  <c r="C11" i="103"/>
  <c r="N10" i="103"/>
  <c r="C10" i="103"/>
  <c r="K9" i="103"/>
  <c r="G9" i="103"/>
  <c r="C9" i="103"/>
  <c r="U8" i="103"/>
  <c r="K8" i="103"/>
  <c r="G8" i="103"/>
  <c r="X7" i="103"/>
  <c r="U7" i="103"/>
  <c r="K7" i="103"/>
  <c r="C7" i="103"/>
  <c r="N48" i="103" l="1"/>
  <c r="N28" i="103"/>
  <c r="N47" i="103"/>
  <c r="N44" i="103"/>
  <c r="N50" i="103"/>
  <c r="N53" i="103"/>
  <c r="N51" i="103"/>
  <c r="N54" i="103"/>
  <c r="N49" i="103"/>
  <c r="N35" i="103"/>
  <c r="N33" i="103"/>
  <c r="N22" i="103"/>
  <c r="N23" i="103"/>
  <c r="N26" i="103"/>
  <c r="N19" i="103"/>
  <c r="N16" i="103"/>
  <c r="N21" i="103"/>
  <c r="N9" i="103"/>
  <c r="G7" i="103"/>
  <c r="N7" i="103" s="1"/>
  <c r="N13" i="103"/>
  <c r="N55" i="103"/>
  <c r="N8" i="103"/>
  <c r="N36" i="103"/>
  <c r="N12" i="103"/>
  <c r="N40" i="103"/>
  <c r="N43" i="103"/>
  <c r="N14" i="103"/>
  <c r="N34" i="103"/>
  <c r="N41" i="103"/>
  <c r="N29" i="103"/>
  <c r="N15" i="103"/>
  <c r="N20" i="103"/>
  <c r="N27" i="103"/>
  <c r="N30" i="103"/>
  <c r="N37" i="103"/>
  <c r="N42" i="103"/>
  <c r="D42" i="102" l="1"/>
  <c r="G36" i="102" l="1"/>
  <c r="D35" i="102" l="1"/>
  <c r="X7" i="102" l="1"/>
  <c r="D28" i="102" l="1"/>
  <c r="D21" i="102" l="1"/>
  <c r="D15" i="102" l="1"/>
  <c r="D14" i="102" l="1"/>
  <c r="E203" i="2" l="1"/>
  <c r="E202" i="2"/>
  <c r="D203" i="2"/>
  <c r="D7" i="102" l="1"/>
  <c r="G54" i="102" l="1"/>
  <c r="G53" i="102"/>
  <c r="K48" i="102"/>
  <c r="G48" i="102"/>
  <c r="C48" i="102"/>
  <c r="K47" i="102"/>
  <c r="G47" i="102"/>
  <c r="C47" i="102"/>
  <c r="N46" i="102"/>
  <c r="C46" i="102"/>
  <c r="N45" i="102"/>
  <c r="C45" i="102"/>
  <c r="K44" i="102"/>
  <c r="G44" i="102"/>
  <c r="C44" i="102"/>
  <c r="K43" i="102"/>
  <c r="G43" i="102"/>
  <c r="C43" i="102"/>
  <c r="K42" i="102"/>
  <c r="G42" i="102"/>
  <c r="C42" i="102"/>
  <c r="U41" i="102"/>
  <c r="K41" i="102"/>
  <c r="G41" i="102"/>
  <c r="C41" i="102"/>
  <c r="X40" i="102"/>
  <c r="U40" i="102"/>
  <c r="K40" i="102"/>
  <c r="G40" i="102"/>
  <c r="C40" i="102"/>
  <c r="N39" i="102"/>
  <c r="C39" i="102"/>
  <c r="N38" i="102"/>
  <c r="C38" i="102"/>
  <c r="K37" i="102"/>
  <c r="G37" i="102"/>
  <c r="C37" i="102"/>
  <c r="K36" i="102"/>
  <c r="N36" i="102" s="1"/>
  <c r="C36" i="102"/>
  <c r="K35" i="102"/>
  <c r="G35" i="102"/>
  <c r="C35" i="102"/>
  <c r="U34" i="102"/>
  <c r="K34" i="102"/>
  <c r="G34" i="102"/>
  <c r="C34" i="102"/>
  <c r="X33" i="102"/>
  <c r="U33" i="102"/>
  <c r="K33" i="102"/>
  <c r="G33" i="102"/>
  <c r="C33" i="102"/>
  <c r="N32" i="102"/>
  <c r="C32" i="102"/>
  <c r="N31" i="102"/>
  <c r="C31" i="102"/>
  <c r="K30" i="102"/>
  <c r="G30" i="102"/>
  <c r="C30" i="102"/>
  <c r="K29" i="102"/>
  <c r="G29" i="102"/>
  <c r="C29" i="102"/>
  <c r="K28" i="102"/>
  <c r="G28" i="102"/>
  <c r="C28" i="102"/>
  <c r="U27" i="102"/>
  <c r="K27" i="102"/>
  <c r="G27" i="102"/>
  <c r="C27" i="102"/>
  <c r="X26" i="102"/>
  <c r="U26" i="102"/>
  <c r="K26" i="102"/>
  <c r="G26" i="102"/>
  <c r="C26" i="102"/>
  <c r="N25" i="102"/>
  <c r="C25" i="102"/>
  <c r="N24" i="102"/>
  <c r="C24" i="102"/>
  <c r="K23" i="102"/>
  <c r="G23" i="102"/>
  <c r="C23" i="102"/>
  <c r="K22" i="102"/>
  <c r="G22" i="102"/>
  <c r="C22" i="102"/>
  <c r="K21" i="102"/>
  <c r="G21" i="102"/>
  <c r="C21" i="102"/>
  <c r="U20" i="102"/>
  <c r="K20" i="102"/>
  <c r="G20" i="102"/>
  <c r="X19" i="102"/>
  <c r="U19" i="102"/>
  <c r="K19" i="102"/>
  <c r="G19" i="102"/>
  <c r="C19" i="102"/>
  <c r="N18" i="102"/>
  <c r="C18" i="102"/>
  <c r="N17" i="102"/>
  <c r="C17" i="102"/>
  <c r="K16" i="102"/>
  <c r="G16" i="102"/>
  <c r="C16" i="102"/>
  <c r="K15" i="102"/>
  <c r="G15" i="102"/>
  <c r="C15" i="102"/>
  <c r="K14" i="102"/>
  <c r="G14" i="102"/>
  <c r="U13" i="102"/>
  <c r="K13" i="102"/>
  <c r="G13" i="102"/>
  <c r="X12" i="102"/>
  <c r="U12" i="102"/>
  <c r="K12" i="102"/>
  <c r="G12" i="102"/>
  <c r="C12" i="102"/>
  <c r="N11" i="102"/>
  <c r="C11" i="102"/>
  <c r="N10" i="102"/>
  <c r="C10" i="102"/>
  <c r="K9" i="102"/>
  <c r="G9" i="102"/>
  <c r="C9" i="102"/>
  <c r="U8" i="102"/>
  <c r="K8" i="102"/>
  <c r="G8" i="102"/>
  <c r="U7" i="102"/>
  <c r="K7" i="102"/>
  <c r="G7" i="102"/>
  <c r="C7" i="102"/>
  <c r="N37" i="102" l="1"/>
  <c r="N29" i="102"/>
  <c r="N27" i="102"/>
  <c r="N21" i="102"/>
  <c r="N7" i="102"/>
  <c r="N9" i="102"/>
  <c r="N8" i="102"/>
  <c r="N42" i="102"/>
  <c r="N48" i="102"/>
  <c r="N43" i="102"/>
  <c r="N35" i="102"/>
  <c r="N16" i="102"/>
  <c r="N47" i="102"/>
  <c r="N19" i="102"/>
  <c r="N12" i="102"/>
  <c r="N14" i="102"/>
  <c r="N20" i="102"/>
  <c r="N22" i="102"/>
  <c r="N23" i="102"/>
  <c r="N26" i="102"/>
  <c r="N15" i="102"/>
  <c r="N34" i="102"/>
  <c r="N41" i="102"/>
  <c r="N13" i="102"/>
  <c r="N33" i="102"/>
  <c r="N40" i="102"/>
  <c r="N30" i="102"/>
  <c r="N44" i="102"/>
  <c r="N28" i="102"/>
  <c r="D49" i="101" l="1"/>
  <c r="D42" i="101" l="1"/>
  <c r="K48" i="101" l="1"/>
  <c r="K47" i="101"/>
  <c r="K44" i="101"/>
  <c r="K43" i="101"/>
  <c r="K42" i="101"/>
  <c r="K41" i="101"/>
  <c r="K40" i="101"/>
  <c r="D36" i="101" l="1"/>
  <c r="D35" i="101" l="1"/>
  <c r="D28" i="101" l="1"/>
  <c r="D21" i="101" l="1"/>
  <c r="D14" i="101" l="1"/>
  <c r="X7" i="101" l="1"/>
  <c r="G61" i="101" l="1"/>
  <c r="G60" i="101"/>
  <c r="D202" i="2"/>
  <c r="D8" i="101" l="1"/>
  <c r="D7" i="101" l="1"/>
  <c r="U8" i="101" l="1"/>
  <c r="K55" i="101" l="1"/>
  <c r="G55" i="101"/>
  <c r="C55" i="101"/>
  <c r="K54" i="101"/>
  <c r="G54" i="101"/>
  <c r="C54" i="101"/>
  <c r="N53" i="101"/>
  <c r="C53" i="101"/>
  <c r="N52" i="101"/>
  <c r="C52" i="101"/>
  <c r="K51" i="101"/>
  <c r="G51" i="101"/>
  <c r="C51" i="101"/>
  <c r="K50" i="101"/>
  <c r="G50" i="101"/>
  <c r="C50" i="101"/>
  <c r="K49" i="101"/>
  <c r="G49" i="101"/>
  <c r="C49" i="101"/>
  <c r="U48" i="101"/>
  <c r="G48" i="101"/>
  <c r="C48" i="101"/>
  <c r="X47" i="101"/>
  <c r="U47" i="101"/>
  <c r="G47" i="101"/>
  <c r="C47" i="101"/>
  <c r="N46" i="101"/>
  <c r="C46" i="101"/>
  <c r="N45" i="101"/>
  <c r="C45" i="101"/>
  <c r="G44" i="101"/>
  <c r="C44" i="101"/>
  <c r="G43" i="101"/>
  <c r="C43" i="101"/>
  <c r="G42" i="101"/>
  <c r="C42" i="101"/>
  <c r="U41" i="101"/>
  <c r="G41" i="101"/>
  <c r="C41" i="101"/>
  <c r="X40" i="101"/>
  <c r="U40" i="101"/>
  <c r="G40" i="101"/>
  <c r="C40" i="101"/>
  <c r="N39" i="101"/>
  <c r="C39" i="101"/>
  <c r="N38" i="101"/>
  <c r="C38" i="101"/>
  <c r="K37" i="101"/>
  <c r="G37" i="101"/>
  <c r="C37" i="101"/>
  <c r="K36" i="101"/>
  <c r="G36" i="101"/>
  <c r="C36" i="101"/>
  <c r="K35" i="101"/>
  <c r="G35" i="101"/>
  <c r="C35" i="101"/>
  <c r="U34" i="101"/>
  <c r="K34" i="101"/>
  <c r="G34" i="101"/>
  <c r="C34" i="101"/>
  <c r="X33" i="101"/>
  <c r="U33" i="101"/>
  <c r="K33" i="101"/>
  <c r="G33" i="101"/>
  <c r="C33" i="101"/>
  <c r="N32" i="101"/>
  <c r="C32" i="101"/>
  <c r="N31" i="101"/>
  <c r="C31" i="101"/>
  <c r="K30" i="101"/>
  <c r="G30" i="101"/>
  <c r="C30" i="101"/>
  <c r="K29" i="101"/>
  <c r="G29" i="101"/>
  <c r="C29" i="101"/>
  <c r="K28" i="101"/>
  <c r="G28" i="101"/>
  <c r="C28" i="101"/>
  <c r="U27" i="101"/>
  <c r="K27" i="101"/>
  <c r="G27" i="101"/>
  <c r="C27" i="101"/>
  <c r="X26" i="101"/>
  <c r="U26" i="101"/>
  <c r="K26" i="101"/>
  <c r="G26" i="101"/>
  <c r="C26" i="101"/>
  <c r="N25" i="101"/>
  <c r="C25" i="101"/>
  <c r="N24" i="101"/>
  <c r="C24" i="101"/>
  <c r="K23" i="101"/>
  <c r="G23" i="101"/>
  <c r="C23" i="101"/>
  <c r="K22" i="101"/>
  <c r="G22" i="101"/>
  <c r="C22" i="101"/>
  <c r="K21" i="101"/>
  <c r="G21" i="101"/>
  <c r="C21" i="101"/>
  <c r="U20" i="101"/>
  <c r="K20" i="101"/>
  <c r="G20" i="101"/>
  <c r="X19" i="101"/>
  <c r="U19" i="101"/>
  <c r="K19" i="101"/>
  <c r="G19" i="101"/>
  <c r="C19" i="101"/>
  <c r="N18" i="101"/>
  <c r="C18" i="101"/>
  <c r="N17" i="101"/>
  <c r="C17" i="101"/>
  <c r="K16" i="101"/>
  <c r="G16" i="101"/>
  <c r="C16" i="101"/>
  <c r="K15" i="101"/>
  <c r="G15" i="101"/>
  <c r="C15" i="101"/>
  <c r="K14" i="101"/>
  <c r="G14" i="101"/>
  <c r="U13" i="101"/>
  <c r="K13" i="101"/>
  <c r="G13" i="101"/>
  <c r="X12" i="101"/>
  <c r="U12" i="101"/>
  <c r="K12" i="101"/>
  <c r="G12" i="101"/>
  <c r="C12" i="101"/>
  <c r="N11" i="101"/>
  <c r="C11" i="101"/>
  <c r="N10" i="101"/>
  <c r="C10" i="101"/>
  <c r="K9" i="101"/>
  <c r="G9" i="101"/>
  <c r="C9" i="101"/>
  <c r="K8" i="101"/>
  <c r="G8" i="101"/>
  <c r="U7" i="101"/>
  <c r="K7" i="101"/>
  <c r="G7" i="101"/>
  <c r="C7" i="101"/>
  <c r="N55" i="101" l="1"/>
  <c r="N51" i="101"/>
  <c r="N43" i="101"/>
  <c r="N29" i="101"/>
  <c r="N27" i="101"/>
  <c r="N22" i="101"/>
  <c r="N30" i="101"/>
  <c r="N35" i="101"/>
  <c r="N48" i="101"/>
  <c r="N50" i="101"/>
  <c r="N41" i="101"/>
  <c r="N54" i="101"/>
  <c r="N40" i="101"/>
  <c r="N49" i="101"/>
  <c r="N20" i="101"/>
  <c r="N21" i="101"/>
  <c r="N26" i="101"/>
  <c r="N16" i="101"/>
  <c r="N15" i="101"/>
  <c r="N19" i="101"/>
  <c r="N12" i="101"/>
  <c r="N44" i="101"/>
  <c r="N36" i="101"/>
  <c r="N8" i="101"/>
  <c r="N13" i="101"/>
  <c r="N23" i="101"/>
  <c r="N33" i="101"/>
  <c r="N37" i="101"/>
  <c r="N14" i="101"/>
  <c r="N28" i="101"/>
  <c r="N34" i="101"/>
  <c r="N9" i="101"/>
  <c r="N47" i="101"/>
  <c r="N42" i="101"/>
  <c r="N7" i="101"/>
  <c r="D49" i="100"/>
  <c r="G44" i="100" l="1"/>
  <c r="G43" i="100"/>
  <c r="D42" i="100" l="1"/>
  <c r="G42" i="100" s="1"/>
  <c r="D35" i="100" l="1"/>
  <c r="D28" i="100" l="1"/>
  <c r="D22" i="100" l="1"/>
  <c r="G22" i="100" s="1"/>
  <c r="D21" i="100" l="1"/>
  <c r="D14" i="100" l="1"/>
  <c r="K55" i="100" l="1"/>
  <c r="K54" i="100"/>
  <c r="K53" i="100"/>
  <c r="K52" i="100"/>
  <c r="K51" i="100"/>
  <c r="K50" i="100"/>
  <c r="K49" i="100"/>
  <c r="K48" i="100"/>
  <c r="K47" i="100"/>
  <c r="K46" i="100"/>
  <c r="K45" i="100"/>
  <c r="K44" i="100"/>
  <c r="K43" i="100"/>
  <c r="K42" i="100"/>
  <c r="K41" i="100"/>
  <c r="K40" i="100"/>
  <c r="K39" i="100"/>
  <c r="K38" i="100"/>
  <c r="K37" i="100"/>
  <c r="K36" i="100"/>
  <c r="K35" i="100"/>
  <c r="K34" i="100"/>
  <c r="K33" i="100"/>
  <c r="K32" i="100"/>
  <c r="K31" i="100"/>
  <c r="K30" i="100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8" i="100"/>
  <c r="K9" i="100"/>
  <c r="K7" i="100"/>
  <c r="D7" i="100"/>
  <c r="E201" i="2" l="1"/>
  <c r="D201" i="2" l="1"/>
  <c r="G61" i="99" l="1"/>
  <c r="G61" i="100" l="1"/>
  <c r="G60" i="100"/>
  <c r="X47" i="100"/>
  <c r="X40" i="100"/>
  <c r="U48" i="100"/>
  <c r="U47" i="100"/>
  <c r="U41" i="100"/>
  <c r="U40" i="100"/>
  <c r="N45" i="100"/>
  <c r="N46" i="100"/>
  <c r="N52" i="100"/>
  <c r="N53" i="100"/>
  <c r="G55" i="100"/>
  <c r="N55" i="100" s="1"/>
  <c r="G54" i="100"/>
  <c r="N54" i="100" s="1"/>
  <c r="G51" i="100"/>
  <c r="N51" i="100" s="1"/>
  <c r="G50" i="100"/>
  <c r="N50" i="100" s="1"/>
  <c r="G49" i="100"/>
  <c r="N49" i="100" s="1"/>
  <c r="G48" i="100"/>
  <c r="N48" i="100" s="1"/>
  <c r="G47" i="100"/>
  <c r="N47" i="100" s="1"/>
  <c r="N44" i="100"/>
  <c r="N43" i="100"/>
  <c r="N42" i="100"/>
  <c r="G41" i="100"/>
  <c r="N41" i="100" s="1"/>
  <c r="G40" i="100"/>
  <c r="N40" i="100" s="1"/>
  <c r="C41" i="100"/>
  <c r="C42" i="100"/>
  <c r="C43" i="100"/>
  <c r="C44" i="100"/>
  <c r="C45" i="100"/>
  <c r="C46" i="100"/>
  <c r="C47" i="100"/>
  <c r="C48" i="100"/>
  <c r="C49" i="100"/>
  <c r="C50" i="100"/>
  <c r="C51" i="100"/>
  <c r="C52" i="100"/>
  <c r="C53" i="100"/>
  <c r="C54" i="100"/>
  <c r="C55" i="100"/>
  <c r="C40" i="100"/>
  <c r="N39" i="100"/>
  <c r="C39" i="100"/>
  <c r="N38" i="100"/>
  <c r="C38" i="100"/>
  <c r="G37" i="100"/>
  <c r="N37" i="100" s="1"/>
  <c r="C37" i="100"/>
  <c r="G36" i="100"/>
  <c r="C36" i="100"/>
  <c r="G35" i="100"/>
  <c r="C35" i="100"/>
  <c r="U34" i="100"/>
  <c r="G34" i="100"/>
  <c r="N34" i="100" s="1"/>
  <c r="C34" i="100"/>
  <c r="X33" i="100"/>
  <c r="U33" i="100"/>
  <c r="G33" i="100"/>
  <c r="N33" i="100" s="1"/>
  <c r="C33" i="100"/>
  <c r="N32" i="100"/>
  <c r="C32" i="100"/>
  <c r="N31" i="100"/>
  <c r="C31" i="100"/>
  <c r="G30" i="100"/>
  <c r="N30" i="100" s="1"/>
  <c r="C30" i="100"/>
  <c r="G29" i="100"/>
  <c r="N29" i="100" s="1"/>
  <c r="C29" i="100"/>
  <c r="G28" i="100"/>
  <c r="N28" i="100" s="1"/>
  <c r="C28" i="100"/>
  <c r="U27" i="100"/>
  <c r="G27" i="100"/>
  <c r="N27" i="100" s="1"/>
  <c r="C27" i="100"/>
  <c r="X26" i="100"/>
  <c r="U26" i="100"/>
  <c r="G26" i="100"/>
  <c r="C26" i="100"/>
  <c r="N25" i="100"/>
  <c r="C25" i="100"/>
  <c r="N24" i="100"/>
  <c r="C24" i="100"/>
  <c r="G23" i="100"/>
  <c r="C23" i="100"/>
  <c r="C22" i="100"/>
  <c r="G21" i="100"/>
  <c r="N21" i="100" s="1"/>
  <c r="C21" i="100"/>
  <c r="U20" i="100"/>
  <c r="G20" i="100"/>
  <c r="N20" i="100" s="1"/>
  <c r="X19" i="100"/>
  <c r="U19" i="100"/>
  <c r="G19" i="100"/>
  <c r="N19" i="100" s="1"/>
  <c r="C19" i="100"/>
  <c r="N18" i="100"/>
  <c r="C18" i="100"/>
  <c r="N17" i="100"/>
  <c r="C17" i="100"/>
  <c r="G16" i="100"/>
  <c r="N16" i="100" s="1"/>
  <c r="C16" i="100"/>
  <c r="G15" i="100"/>
  <c r="N15" i="100" s="1"/>
  <c r="C15" i="100"/>
  <c r="G14" i="100"/>
  <c r="N14" i="100" s="1"/>
  <c r="U13" i="100"/>
  <c r="G13" i="100"/>
  <c r="N13" i="100" s="1"/>
  <c r="X12" i="100"/>
  <c r="U12" i="100"/>
  <c r="G12" i="100"/>
  <c r="C12" i="100"/>
  <c r="N11" i="100"/>
  <c r="C11" i="100"/>
  <c r="N10" i="100"/>
  <c r="C10" i="100"/>
  <c r="G9" i="100"/>
  <c r="C9" i="100"/>
  <c r="U8" i="100"/>
  <c r="G8" i="100"/>
  <c r="N8" i="100" s="1"/>
  <c r="X7" i="100"/>
  <c r="U7" i="100"/>
  <c r="G7" i="100"/>
  <c r="N7" i="100" s="1"/>
  <c r="C7" i="100"/>
  <c r="N22" i="100" l="1"/>
  <c r="N9" i="100"/>
  <c r="N12" i="100"/>
  <c r="N23" i="100"/>
  <c r="N36" i="100"/>
  <c r="N26" i="100"/>
  <c r="N35" i="100"/>
  <c r="D56" i="99" l="1"/>
  <c r="G54" i="99" l="1"/>
  <c r="D50" i="99" l="1"/>
  <c r="D49" i="99" l="1"/>
  <c r="G48" i="99" l="1"/>
  <c r="G47" i="99"/>
  <c r="D42" i="99" l="1"/>
  <c r="D35" i="99" l="1"/>
  <c r="D28" i="99" l="1"/>
  <c r="D22" i="99" l="1"/>
  <c r="G13" i="99" l="1"/>
  <c r="D15" i="99" l="1"/>
  <c r="G15" i="99" s="1"/>
  <c r="D14" i="99" l="1"/>
  <c r="G14" i="99" s="1"/>
  <c r="U13" i="99" l="1"/>
  <c r="E200" i="2" l="1"/>
  <c r="D200" i="2"/>
  <c r="D7" i="99" l="1"/>
  <c r="G58" i="99" l="1"/>
  <c r="G22" i="99"/>
  <c r="G68" i="99"/>
  <c r="G67" i="99"/>
  <c r="X54" i="99"/>
  <c r="X47" i="99"/>
  <c r="X40" i="99"/>
  <c r="U55" i="99"/>
  <c r="U54" i="99"/>
  <c r="U48" i="99"/>
  <c r="U47" i="99"/>
  <c r="U41" i="99"/>
  <c r="U40" i="99"/>
  <c r="C58" i="99"/>
  <c r="C59" i="99"/>
  <c r="C60" i="99"/>
  <c r="C61" i="99"/>
  <c r="C62" i="99"/>
  <c r="K62" i="99"/>
  <c r="G62" i="99"/>
  <c r="K61" i="99"/>
  <c r="K60" i="99"/>
  <c r="N60" i="99" s="1"/>
  <c r="K59" i="99"/>
  <c r="N59" i="99" s="1"/>
  <c r="K58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K57" i="99"/>
  <c r="G57" i="99"/>
  <c r="K56" i="99"/>
  <c r="G56" i="99"/>
  <c r="K55" i="99"/>
  <c r="G55" i="99"/>
  <c r="K54" i="99"/>
  <c r="K53" i="99"/>
  <c r="K52" i="99"/>
  <c r="N52" i="99" s="1"/>
  <c r="K51" i="99"/>
  <c r="G51" i="99"/>
  <c r="K50" i="99"/>
  <c r="G50" i="99"/>
  <c r="K49" i="99"/>
  <c r="G49" i="99"/>
  <c r="K48" i="99"/>
  <c r="K47" i="99"/>
  <c r="K46" i="99"/>
  <c r="K45" i="99"/>
  <c r="K44" i="99"/>
  <c r="G44" i="99"/>
  <c r="K43" i="99"/>
  <c r="G43" i="99"/>
  <c r="K42" i="99"/>
  <c r="G42" i="99"/>
  <c r="K41" i="99"/>
  <c r="G41" i="99"/>
  <c r="K40" i="99"/>
  <c r="G40" i="99"/>
  <c r="C40" i="99"/>
  <c r="K39" i="99"/>
  <c r="N39" i="99" s="1"/>
  <c r="C39" i="99"/>
  <c r="K38" i="99"/>
  <c r="N38" i="99" s="1"/>
  <c r="C38" i="99"/>
  <c r="K37" i="99"/>
  <c r="G37" i="99"/>
  <c r="C37" i="99"/>
  <c r="K36" i="99"/>
  <c r="G36" i="99"/>
  <c r="C36" i="99"/>
  <c r="K35" i="99"/>
  <c r="G35" i="99"/>
  <c r="C35" i="99"/>
  <c r="U34" i="99"/>
  <c r="K34" i="99"/>
  <c r="G34" i="99"/>
  <c r="C34" i="99"/>
  <c r="X33" i="99"/>
  <c r="U33" i="99"/>
  <c r="K33" i="99"/>
  <c r="G33" i="99"/>
  <c r="C33" i="99"/>
  <c r="K32" i="99"/>
  <c r="N32" i="99" s="1"/>
  <c r="C32" i="99"/>
  <c r="K31" i="99"/>
  <c r="N31" i="99" s="1"/>
  <c r="C31" i="99"/>
  <c r="K30" i="99"/>
  <c r="G30" i="99"/>
  <c r="C30" i="99"/>
  <c r="K29" i="99"/>
  <c r="G29" i="99"/>
  <c r="C29" i="99"/>
  <c r="K28" i="99"/>
  <c r="G28" i="99"/>
  <c r="C28" i="99"/>
  <c r="U27" i="99"/>
  <c r="K27" i="99"/>
  <c r="G27" i="99"/>
  <c r="C27" i="99"/>
  <c r="X26" i="99"/>
  <c r="U26" i="99"/>
  <c r="K26" i="99"/>
  <c r="G26" i="99"/>
  <c r="C26" i="99"/>
  <c r="K25" i="99"/>
  <c r="N25" i="99" s="1"/>
  <c r="C25" i="99"/>
  <c r="K24" i="99"/>
  <c r="N24" i="99" s="1"/>
  <c r="C24" i="99"/>
  <c r="K23" i="99"/>
  <c r="G23" i="99"/>
  <c r="C23" i="99"/>
  <c r="K22" i="99"/>
  <c r="C22" i="99"/>
  <c r="K21" i="99"/>
  <c r="U20" i="99"/>
  <c r="K20" i="99"/>
  <c r="G20" i="99"/>
  <c r="X19" i="99"/>
  <c r="U19" i="99"/>
  <c r="K19" i="99"/>
  <c r="G19" i="99"/>
  <c r="C19" i="99"/>
  <c r="K18" i="99"/>
  <c r="N18" i="99" s="1"/>
  <c r="C18" i="99"/>
  <c r="K17" i="99"/>
  <c r="N17" i="99" s="1"/>
  <c r="C17" i="99"/>
  <c r="K16" i="99"/>
  <c r="G16" i="99"/>
  <c r="C16" i="99"/>
  <c r="K15" i="99"/>
  <c r="N15" i="99" s="1"/>
  <c r="C15" i="99"/>
  <c r="K14" i="99"/>
  <c r="N14" i="99" s="1"/>
  <c r="K13" i="99"/>
  <c r="X12" i="99"/>
  <c r="U12" i="99"/>
  <c r="K12" i="99"/>
  <c r="K11" i="99"/>
  <c r="N11" i="99" s="1"/>
  <c r="C11" i="99"/>
  <c r="K10" i="99"/>
  <c r="N10" i="99" s="1"/>
  <c r="C10" i="99"/>
  <c r="K9" i="99"/>
  <c r="N9" i="99" s="1"/>
  <c r="U8" i="99"/>
  <c r="K8" i="99"/>
  <c r="G8" i="99"/>
  <c r="X7" i="99"/>
  <c r="U7" i="99"/>
  <c r="K7" i="99"/>
  <c r="C7" i="99"/>
  <c r="G7" i="99" l="1"/>
  <c r="N61" i="99"/>
  <c r="N62" i="99"/>
  <c r="N58" i="99"/>
  <c r="N55" i="99"/>
  <c r="N51" i="99"/>
  <c r="N48" i="99"/>
  <c r="N29" i="99"/>
  <c r="N44" i="99"/>
  <c r="N43" i="99"/>
  <c r="N41" i="99"/>
  <c r="N36" i="99"/>
  <c r="N30" i="99"/>
  <c r="N33" i="99"/>
  <c r="N26" i="99"/>
  <c r="N23" i="99"/>
  <c r="N27" i="99"/>
  <c r="N16" i="99"/>
  <c r="N8" i="99"/>
  <c r="N13" i="99"/>
  <c r="N20" i="99"/>
  <c r="N28" i="99"/>
  <c r="N19" i="99"/>
  <c r="N21" i="99"/>
  <c r="N34" i="99"/>
  <c r="N37" i="99"/>
  <c r="N40" i="99"/>
  <c r="N12" i="99"/>
  <c r="N35" i="99"/>
  <c r="N42" i="99"/>
  <c r="N50" i="99"/>
  <c r="N47" i="99"/>
  <c r="N46" i="99"/>
  <c r="N54" i="99"/>
  <c r="N56" i="99"/>
  <c r="N45" i="99"/>
  <c r="N49" i="99"/>
  <c r="N53" i="99"/>
  <c r="N57" i="99"/>
  <c r="N22" i="99"/>
  <c r="N7" i="99"/>
  <c r="D35" i="98" l="1"/>
  <c r="D28" i="98" l="1"/>
  <c r="D22" i="98" l="1"/>
  <c r="D21" i="98" l="1"/>
  <c r="D14" i="98" l="1"/>
  <c r="G47" i="98" l="1"/>
  <c r="G41" i="98"/>
  <c r="G40" i="98"/>
  <c r="G37" i="98"/>
  <c r="G36" i="98"/>
  <c r="G35" i="98"/>
  <c r="G34" i="98"/>
  <c r="G33" i="98"/>
  <c r="G30" i="98"/>
  <c r="G29" i="98"/>
  <c r="G28" i="98"/>
  <c r="G27" i="98"/>
  <c r="G26" i="98"/>
  <c r="G23" i="98"/>
  <c r="G22" i="98"/>
  <c r="G21" i="98"/>
  <c r="G20" i="98"/>
  <c r="G19" i="98"/>
  <c r="G16" i="98"/>
  <c r="G15" i="98"/>
  <c r="G14" i="98"/>
  <c r="G13" i="98"/>
  <c r="G12" i="98"/>
  <c r="G9" i="98"/>
  <c r="G8" i="98"/>
  <c r="D199" i="2" l="1"/>
  <c r="D7" i="98" l="1"/>
  <c r="G46" i="98" l="1"/>
  <c r="G7" i="98" s="1"/>
  <c r="K41" i="98"/>
  <c r="N41" i="98" s="1"/>
  <c r="C41" i="98"/>
  <c r="K40" i="98"/>
  <c r="N40" i="98" s="1"/>
  <c r="C40" i="98"/>
  <c r="K39" i="98"/>
  <c r="N39" i="98" s="1"/>
  <c r="C39" i="98"/>
  <c r="K38" i="98"/>
  <c r="N38" i="98" s="1"/>
  <c r="C38" i="98"/>
  <c r="K37" i="98"/>
  <c r="C37" i="98"/>
  <c r="K36" i="98"/>
  <c r="N36" i="98" s="1"/>
  <c r="C36" i="98"/>
  <c r="K35" i="98"/>
  <c r="C35" i="98"/>
  <c r="U34" i="98"/>
  <c r="K34" i="98"/>
  <c r="C34" i="98"/>
  <c r="X33" i="98"/>
  <c r="U33" i="98"/>
  <c r="K33" i="98"/>
  <c r="C33" i="98"/>
  <c r="K32" i="98"/>
  <c r="N32" i="98" s="1"/>
  <c r="C32" i="98"/>
  <c r="K31" i="98"/>
  <c r="N31" i="98" s="1"/>
  <c r="C31" i="98"/>
  <c r="K30" i="98"/>
  <c r="N30" i="98" s="1"/>
  <c r="C30" i="98"/>
  <c r="K29" i="98"/>
  <c r="C29" i="98"/>
  <c r="K28" i="98"/>
  <c r="C28" i="98"/>
  <c r="U27" i="98"/>
  <c r="K27" i="98"/>
  <c r="N27" i="98" s="1"/>
  <c r="C27" i="98"/>
  <c r="X26" i="98"/>
  <c r="U26" i="98"/>
  <c r="K26" i="98"/>
  <c r="C26" i="98"/>
  <c r="K25" i="98"/>
  <c r="N25" i="98" s="1"/>
  <c r="C25" i="98"/>
  <c r="K24" i="98"/>
  <c r="N24" i="98" s="1"/>
  <c r="C24" i="98"/>
  <c r="K23" i="98"/>
  <c r="C23" i="98"/>
  <c r="K22" i="98"/>
  <c r="C22" i="98"/>
  <c r="K21" i="98"/>
  <c r="C21" i="98"/>
  <c r="U20" i="98"/>
  <c r="K20" i="98"/>
  <c r="X19" i="98"/>
  <c r="U19" i="98"/>
  <c r="K19" i="98"/>
  <c r="N19" i="98" s="1"/>
  <c r="C19" i="98"/>
  <c r="K18" i="98"/>
  <c r="N18" i="98" s="1"/>
  <c r="C18" i="98"/>
  <c r="K17" i="98"/>
  <c r="N17" i="98" s="1"/>
  <c r="C17" i="98"/>
  <c r="K16" i="98"/>
  <c r="C16" i="98"/>
  <c r="K15" i="98"/>
  <c r="C15" i="98"/>
  <c r="K14" i="98"/>
  <c r="N14" i="98" s="1"/>
  <c r="U13" i="98"/>
  <c r="K13" i="98"/>
  <c r="N13" i="98" s="1"/>
  <c r="X12" i="98"/>
  <c r="U12" i="98"/>
  <c r="K12" i="98"/>
  <c r="C12" i="98"/>
  <c r="K11" i="98"/>
  <c r="N11" i="98" s="1"/>
  <c r="C11" i="98"/>
  <c r="K10" i="98"/>
  <c r="N10" i="98" s="1"/>
  <c r="C10" i="98"/>
  <c r="K9" i="98"/>
  <c r="C9" i="98"/>
  <c r="U8" i="98"/>
  <c r="K8" i="98"/>
  <c r="X7" i="98"/>
  <c r="U7" i="98"/>
  <c r="K7" i="98"/>
  <c r="C7" i="98"/>
  <c r="N7" i="98" l="1"/>
  <c r="N37" i="98"/>
  <c r="N12" i="98"/>
  <c r="N33" i="98"/>
  <c r="N26" i="98"/>
  <c r="N23" i="98"/>
  <c r="N20" i="98"/>
  <c r="N16" i="98"/>
  <c r="N28" i="98"/>
  <c r="N8" i="98"/>
  <c r="N15" i="98"/>
  <c r="N34" i="98"/>
  <c r="N9" i="98"/>
  <c r="N22" i="98"/>
  <c r="N29" i="98"/>
  <c r="N35" i="98"/>
  <c r="N21" i="98"/>
  <c r="D42" i="97" l="1"/>
  <c r="D36" i="97" l="1"/>
  <c r="D35" i="97" l="1"/>
  <c r="G30" i="97" l="1"/>
  <c r="D28" i="97" l="1"/>
  <c r="G22" i="97" l="1"/>
  <c r="G23" i="97"/>
  <c r="G20" i="97" l="1"/>
  <c r="D21" i="97" l="1"/>
  <c r="G21" i="97" s="1"/>
  <c r="G16" i="97" l="1"/>
  <c r="G15" i="97"/>
  <c r="G12" i="97"/>
  <c r="G13" i="97"/>
  <c r="D14" i="97" l="1"/>
  <c r="G14" i="97" s="1"/>
  <c r="U27" i="97" l="1"/>
  <c r="U26" i="97"/>
  <c r="X26" i="97"/>
  <c r="U34" i="97"/>
  <c r="U33" i="97"/>
  <c r="U41" i="97"/>
  <c r="U40" i="97"/>
  <c r="X40" i="97"/>
  <c r="X33" i="97"/>
  <c r="X19" i="97"/>
  <c r="U20" i="97"/>
  <c r="U19" i="97"/>
  <c r="X12" i="97"/>
  <c r="U13" i="97"/>
  <c r="U12" i="97"/>
  <c r="D8" i="97" l="1"/>
  <c r="E198" i="2" l="1"/>
  <c r="D198" i="2" l="1"/>
  <c r="D7" i="97" l="1"/>
  <c r="G47" i="96" l="1"/>
  <c r="G44" i="96" l="1"/>
  <c r="X7" i="97" l="1"/>
  <c r="U8" i="97"/>
  <c r="K8" i="97"/>
  <c r="K9" i="97"/>
  <c r="K10" i="97"/>
  <c r="K11" i="97"/>
  <c r="K12" i="97"/>
  <c r="K13" i="97"/>
  <c r="K14" i="97"/>
  <c r="K15" i="97"/>
  <c r="K16" i="97"/>
  <c r="K17" i="97"/>
  <c r="N17" i="97" s="1"/>
  <c r="K18" i="97"/>
  <c r="K19" i="97"/>
  <c r="K20" i="97"/>
  <c r="K21" i="97"/>
  <c r="K22" i="97"/>
  <c r="K23" i="97"/>
  <c r="K24" i="97"/>
  <c r="K25" i="97"/>
  <c r="N25" i="97" s="1"/>
  <c r="K26" i="97"/>
  <c r="K27" i="97"/>
  <c r="K28" i="97"/>
  <c r="K29" i="97"/>
  <c r="K30" i="97"/>
  <c r="K31" i="97"/>
  <c r="N31" i="97" s="1"/>
  <c r="K32" i="97"/>
  <c r="K33" i="97"/>
  <c r="K34" i="97"/>
  <c r="K35" i="97"/>
  <c r="K36" i="97"/>
  <c r="K37" i="97"/>
  <c r="K38" i="97"/>
  <c r="N38" i="97" s="1"/>
  <c r="K39" i="97"/>
  <c r="N39" i="97" s="1"/>
  <c r="K40" i="97"/>
  <c r="K41" i="97"/>
  <c r="K42" i="97"/>
  <c r="K43" i="97"/>
  <c r="K44" i="97"/>
  <c r="K45" i="97"/>
  <c r="N45" i="97" s="1"/>
  <c r="K46" i="97"/>
  <c r="N46" i="97" s="1"/>
  <c r="K47" i="97"/>
  <c r="K48" i="97"/>
  <c r="K7" i="97"/>
  <c r="G54" i="97"/>
  <c r="G53" i="97"/>
  <c r="G48" i="97"/>
  <c r="C48" i="97"/>
  <c r="G47" i="97"/>
  <c r="C47" i="97"/>
  <c r="C46" i="97"/>
  <c r="C45" i="97"/>
  <c r="G44" i="97"/>
  <c r="C44" i="97"/>
  <c r="G43" i="97"/>
  <c r="C43" i="97"/>
  <c r="G42" i="97"/>
  <c r="C42" i="97"/>
  <c r="G41" i="97"/>
  <c r="C41" i="97"/>
  <c r="G40" i="97"/>
  <c r="C40" i="97"/>
  <c r="C39" i="97"/>
  <c r="C38" i="97"/>
  <c r="G37" i="97"/>
  <c r="C37" i="97"/>
  <c r="G36" i="97"/>
  <c r="C36" i="97"/>
  <c r="G35" i="97"/>
  <c r="C35" i="97"/>
  <c r="G34" i="97"/>
  <c r="C34" i="97"/>
  <c r="G33" i="97"/>
  <c r="C33" i="97"/>
  <c r="N32" i="97"/>
  <c r="C32" i="97"/>
  <c r="C31" i="97"/>
  <c r="C30" i="97"/>
  <c r="G29" i="97"/>
  <c r="C29" i="97"/>
  <c r="G28" i="97"/>
  <c r="C28" i="97"/>
  <c r="G27" i="97"/>
  <c r="C27" i="97"/>
  <c r="G26" i="97"/>
  <c r="C26" i="97"/>
  <c r="C25" i="97"/>
  <c r="N24" i="97"/>
  <c r="C24" i="97"/>
  <c r="C23" i="97"/>
  <c r="C22" i="97"/>
  <c r="C21" i="97"/>
  <c r="G19" i="97"/>
  <c r="C19" i="97"/>
  <c r="N18" i="97"/>
  <c r="C18" i="97"/>
  <c r="C17" i="97"/>
  <c r="C16" i="97"/>
  <c r="C15" i="97"/>
  <c r="C12" i="97"/>
  <c r="N11" i="97"/>
  <c r="C11" i="97"/>
  <c r="N10" i="97"/>
  <c r="C10" i="97"/>
  <c r="G9" i="97"/>
  <c r="N9" i="97" s="1"/>
  <c r="C9" i="97"/>
  <c r="G8" i="97"/>
  <c r="N8" i="97" s="1"/>
  <c r="U7" i="97"/>
  <c r="C7" i="97"/>
  <c r="D7" i="96"/>
  <c r="D8" i="96"/>
  <c r="D21" i="96"/>
  <c r="D28" i="96"/>
  <c r="D35" i="96"/>
  <c r="D42" i="96"/>
  <c r="G7" i="97" l="1"/>
  <c r="N44" i="97"/>
  <c r="N40" i="97"/>
  <c r="N36" i="97"/>
  <c r="N35" i="97"/>
  <c r="N26" i="97"/>
  <c r="N20" i="97"/>
  <c r="N23" i="97"/>
  <c r="N19" i="97"/>
  <c r="N22" i="97"/>
  <c r="N16" i="97"/>
  <c r="N21" i="97"/>
  <c r="N15" i="97"/>
  <c r="N7" i="97"/>
  <c r="N14" i="97"/>
  <c r="N13" i="97"/>
  <c r="N12" i="97"/>
  <c r="N27" i="97"/>
  <c r="N29" i="97"/>
  <c r="N47" i="97"/>
  <c r="N33" i="97"/>
  <c r="N30" i="97"/>
  <c r="N37" i="97"/>
  <c r="N42" i="97"/>
  <c r="N48" i="97"/>
  <c r="N43" i="97"/>
  <c r="N34" i="97"/>
  <c r="N41" i="97"/>
  <c r="N28" i="97"/>
  <c r="K8" i="96" l="1"/>
  <c r="G21" i="96" l="1"/>
  <c r="K48" i="96"/>
  <c r="K47" i="96"/>
  <c r="K44" i="96"/>
  <c r="K43" i="96"/>
  <c r="K42" i="96"/>
  <c r="K41" i="96"/>
  <c r="K40" i="96"/>
  <c r="K37" i="96"/>
  <c r="K36" i="96"/>
  <c r="K35" i="96"/>
  <c r="K34" i="96"/>
  <c r="K33" i="96"/>
  <c r="K30" i="96"/>
  <c r="K29" i="96"/>
  <c r="K28" i="96"/>
  <c r="K27" i="96"/>
  <c r="K26" i="96"/>
  <c r="K23" i="96"/>
  <c r="K22" i="96"/>
  <c r="K21" i="96"/>
  <c r="N21" i="96" l="1"/>
  <c r="G15" i="96" l="1"/>
  <c r="K9" i="96" l="1"/>
  <c r="K12" i="96"/>
  <c r="K15" i="96"/>
  <c r="K16" i="96"/>
  <c r="K19" i="96"/>
  <c r="K7" i="96"/>
  <c r="E197" i="2" l="1"/>
  <c r="D197" i="2"/>
  <c r="X7" i="96" l="1"/>
  <c r="U8" i="96"/>
  <c r="G53" i="96" l="1"/>
  <c r="G52" i="96"/>
  <c r="G48" i="96"/>
  <c r="N48" i="96" s="1"/>
  <c r="C48" i="96"/>
  <c r="N47" i="96"/>
  <c r="C47" i="96"/>
  <c r="N46" i="96"/>
  <c r="C46" i="96"/>
  <c r="N45" i="96"/>
  <c r="C45" i="96"/>
  <c r="C44" i="96"/>
  <c r="G43" i="96"/>
  <c r="C43" i="96"/>
  <c r="G42" i="96"/>
  <c r="N42" i="96" s="1"/>
  <c r="C42" i="96"/>
  <c r="U41" i="96"/>
  <c r="G41" i="96"/>
  <c r="C41" i="96"/>
  <c r="X40" i="96"/>
  <c r="U40" i="96"/>
  <c r="G40" i="96"/>
  <c r="C40" i="96"/>
  <c r="N39" i="96"/>
  <c r="C39" i="96"/>
  <c r="N38" i="96"/>
  <c r="C38" i="96"/>
  <c r="G37" i="96"/>
  <c r="C37" i="96"/>
  <c r="G36" i="96"/>
  <c r="N36" i="96" s="1"/>
  <c r="C36" i="96"/>
  <c r="G35" i="96"/>
  <c r="N35" i="96" s="1"/>
  <c r="C35" i="96"/>
  <c r="U34" i="96"/>
  <c r="G34" i="96"/>
  <c r="C34" i="96"/>
  <c r="X33" i="96"/>
  <c r="U33" i="96"/>
  <c r="G33" i="96"/>
  <c r="N33" i="96" s="1"/>
  <c r="C33" i="96"/>
  <c r="N32" i="96"/>
  <c r="C32" i="96"/>
  <c r="N31" i="96"/>
  <c r="C31" i="96"/>
  <c r="G30" i="96"/>
  <c r="C30" i="96"/>
  <c r="G29" i="96"/>
  <c r="N29" i="96" s="1"/>
  <c r="C29" i="96"/>
  <c r="G28" i="96"/>
  <c r="C28" i="96"/>
  <c r="U27" i="96"/>
  <c r="G27" i="96"/>
  <c r="C27" i="96"/>
  <c r="X26" i="96"/>
  <c r="U26" i="96"/>
  <c r="G26" i="96"/>
  <c r="C26" i="96"/>
  <c r="N25" i="96"/>
  <c r="C25" i="96"/>
  <c r="N24" i="96"/>
  <c r="C24" i="96"/>
  <c r="G23" i="96"/>
  <c r="N23" i="96" s="1"/>
  <c r="C23" i="96"/>
  <c r="G22" i="96"/>
  <c r="N22" i="96" s="1"/>
  <c r="C22" i="96"/>
  <c r="C21" i="96"/>
  <c r="U20" i="96"/>
  <c r="X19" i="96"/>
  <c r="U19" i="96"/>
  <c r="G19" i="96"/>
  <c r="N19" i="96" s="1"/>
  <c r="C19" i="96"/>
  <c r="N18" i="96"/>
  <c r="C18" i="96"/>
  <c r="N17" i="96"/>
  <c r="C17" i="96"/>
  <c r="G16" i="96"/>
  <c r="C16" i="96"/>
  <c r="N15" i="96"/>
  <c r="C15" i="96"/>
  <c r="G12" i="96"/>
  <c r="C12" i="96"/>
  <c r="N11" i="96"/>
  <c r="C11" i="96"/>
  <c r="N10" i="96"/>
  <c r="C10" i="96"/>
  <c r="G9" i="96"/>
  <c r="C9" i="96"/>
  <c r="G8" i="96"/>
  <c r="N8" i="96" s="1"/>
  <c r="U7" i="96"/>
  <c r="G7" i="96"/>
  <c r="C7" i="96"/>
  <c r="N41" i="96" l="1"/>
  <c r="N43" i="96"/>
  <c r="N34" i="96"/>
  <c r="N12" i="96"/>
  <c r="N27" i="96"/>
  <c r="N40" i="96"/>
  <c r="N44" i="96"/>
  <c r="N9" i="96"/>
  <c r="N20" i="96"/>
  <c r="N37" i="96"/>
  <c r="N13" i="96"/>
  <c r="N16" i="96"/>
  <c r="N26" i="96"/>
  <c r="N30" i="96"/>
  <c r="N7" i="96"/>
  <c r="N28" i="96"/>
  <c r="N14" i="96"/>
  <c r="D49" i="95" l="1"/>
  <c r="K55" i="95" l="1"/>
  <c r="K54" i="95"/>
  <c r="D42" i="95" l="1"/>
  <c r="D36" i="95" l="1"/>
  <c r="D35" i="95" l="1"/>
  <c r="K39" i="95" l="1"/>
  <c r="K38" i="95"/>
  <c r="D28" i="95" l="1"/>
  <c r="D21" i="95" l="1"/>
  <c r="K16" i="95" l="1"/>
  <c r="D14" i="95" l="1"/>
  <c r="D8" i="95" l="1"/>
  <c r="E196" i="2" l="1"/>
  <c r="D196" i="2" l="1"/>
  <c r="D7" i="95" l="1"/>
  <c r="G47" i="94" l="1"/>
  <c r="G37" i="94"/>
  <c r="G36" i="94"/>
  <c r="G60" i="95" l="1"/>
  <c r="G59" i="95"/>
  <c r="X47" i="95"/>
  <c r="U48" i="95"/>
  <c r="U47" i="95"/>
  <c r="N52" i="95"/>
  <c r="N53" i="95"/>
  <c r="K49" i="95"/>
  <c r="K50" i="95"/>
  <c r="K51" i="95"/>
  <c r="D56" i="95"/>
  <c r="F56" i="95"/>
  <c r="E56" i="95"/>
  <c r="G55" i="95"/>
  <c r="N55" i="95" s="1"/>
  <c r="G54" i="95"/>
  <c r="N54" i="95" s="1"/>
  <c r="G51" i="95"/>
  <c r="G50" i="95"/>
  <c r="G49" i="95"/>
  <c r="G48" i="95"/>
  <c r="G47" i="95"/>
  <c r="C47" i="95"/>
  <c r="C48" i="95"/>
  <c r="C49" i="95"/>
  <c r="C50" i="95"/>
  <c r="C51" i="95"/>
  <c r="C52" i="95"/>
  <c r="C53" i="95"/>
  <c r="C54" i="95"/>
  <c r="C55" i="95"/>
  <c r="J56" i="95"/>
  <c r="I56" i="95"/>
  <c r="H56" i="95"/>
  <c r="K48" i="95"/>
  <c r="K47" i="95"/>
  <c r="N46" i="95"/>
  <c r="C46" i="95"/>
  <c r="N45" i="95"/>
  <c r="C45" i="95"/>
  <c r="K44" i="95"/>
  <c r="G44" i="95"/>
  <c r="C44" i="95"/>
  <c r="K43" i="95"/>
  <c r="G43" i="95"/>
  <c r="C43" i="95"/>
  <c r="K42" i="95"/>
  <c r="G42" i="95"/>
  <c r="C42" i="95"/>
  <c r="U41" i="95"/>
  <c r="K41" i="95"/>
  <c r="G41" i="95"/>
  <c r="C41" i="95"/>
  <c r="X40" i="95"/>
  <c r="U40" i="95"/>
  <c r="K40" i="95"/>
  <c r="G40" i="95"/>
  <c r="C40" i="95"/>
  <c r="N39" i="95"/>
  <c r="C39" i="95"/>
  <c r="N38" i="95"/>
  <c r="C38" i="95"/>
  <c r="K37" i="95"/>
  <c r="G37" i="95"/>
  <c r="C37" i="95"/>
  <c r="K36" i="95"/>
  <c r="G36" i="95"/>
  <c r="C36" i="95"/>
  <c r="K35" i="95"/>
  <c r="G35" i="95"/>
  <c r="C35" i="95"/>
  <c r="U34" i="95"/>
  <c r="K34" i="95"/>
  <c r="G34" i="95"/>
  <c r="C34" i="95"/>
  <c r="X33" i="95"/>
  <c r="U33" i="95"/>
  <c r="K33" i="95"/>
  <c r="G33" i="95"/>
  <c r="C33" i="95"/>
  <c r="N32" i="95"/>
  <c r="C32" i="95"/>
  <c r="K31" i="95"/>
  <c r="N31" i="95" s="1"/>
  <c r="C31" i="95"/>
  <c r="K30" i="95"/>
  <c r="G30" i="95"/>
  <c r="C30" i="95"/>
  <c r="K29" i="95"/>
  <c r="G29" i="95"/>
  <c r="C29" i="95"/>
  <c r="K28" i="95"/>
  <c r="G28" i="95"/>
  <c r="C28" i="95"/>
  <c r="U27" i="95"/>
  <c r="K27" i="95"/>
  <c r="G27" i="95"/>
  <c r="C27" i="95"/>
  <c r="X26" i="95"/>
  <c r="U26" i="95"/>
  <c r="K26" i="95"/>
  <c r="G26" i="95"/>
  <c r="C26" i="95"/>
  <c r="N25" i="95"/>
  <c r="C25" i="95"/>
  <c r="N24" i="95"/>
  <c r="C24" i="95"/>
  <c r="K23" i="95"/>
  <c r="G23" i="95"/>
  <c r="C23" i="95"/>
  <c r="K22" i="95"/>
  <c r="G22" i="95"/>
  <c r="C22" i="95"/>
  <c r="K21" i="95"/>
  <c r="G21" i="95"/>
  <c r="C21" i="95"/>
  <c r="U20" i="95"/>
  <c r="K20" i="95"/>
  <c r="G20" i="95"/>
  <c r="C20" i="95"/>
  <c r="X19" i="95"/>
  <c r="U19" i="95"/>
  <c r="K19" i="95"/>
  <c r="G19" i="95"/>
  <c r="C19" i="95"/>
  <c r="N18" i="95"/>
  <c r="C18" i="95"/>
  <c r="N17" i="95"/>
  <c r="C17" i="95"/>
  <c r="G16" i="95"/>
  <c r="C16" i="95"/>
  <c r="K15" i="95"/>
  <c r="G15" i="95"/>
  <c r="C15" i="95"/>
  <c r="K14" i="95"/>
  <c r="G14" i="95"/>
  <c r="C14" i="95"/>
  <c r="U13" i="95"/>
  <c r="K13" i="95"/>
  <c r="G13" i="95"/>
  <c r="C13" i="95"/>
  <c r="X12" i="95"/>
  <c r="U12" i="95"/>
  <c r="K12" i="95"/>
  <c r="G12" i="95"/>
  <c r="C12" i="95"/>
  <c r="N11" i="95"/>
  <c r="C11" i="95"/>
  <c r="N10" i="95"/>
  <c r="C10" i="95"/>
  <c r="K9" i="95"/>
  <c r="G9" i="95"/>
  <c r="C9" i="95"/>
  <c r="U8" i="95"/>
  <c r="K8" i="95"/>
  <c r="G8" i="95"/>
  <c r="X7" i="95"/>
  <c r="U7" i="95"/>
  <c r="K7" i="95"/>
  <c r="G7" i="95"/>
  <c r="C7" i="95"/>
  <c r="N15" i="95" l="1"/>
  <c r="N51" i="95"/>
  <c r="N49" i="95"/>
  <c r="N48" i="95"/>
  <c r="N35" i="95"/>
  <c r="N30" i="95"/>
  <c r="N27" i="95"/>
  <c r="N22" i="95"/>
  <c r="N37" i="95"/>
  <c r="N50" i="95"/>
  <c r="N16" i="95"/>
  <c r="N21" i="95"/>
  <c r="N19" i="95"/>
  <c r="N12" i="95"/>
  <c r="N9" i="95"/>
  <c r="N13" i="95"/>
  <c r="N43" i="95"/>
  <c r="N28" i="95"/>
  <c r="N14" i="95"/>
  <c r="N8" i="95"/>
  <c r="N20" i="95"/>
  <c r="N26" i="95"/>
  <c r="N41" i="95"/>
  <c r="N23" i="95"/>
  <c r="N34" i="95"/>
  <c r="N44" i="95"/>
  <c r="N47" i="95"/>
  <c r="N29" i="95"/>
  <c r="N36" i="95"/>
  <c r="N33" i="95"/>
  <c r="N40" i="95"/>
  <c r="N42" i="95"/>
  <c r="N7" i="95"/>
  <c r="N56" i="95" l="1"/>
  <c r="D42" i="94" l="1"/>
  <c r="D35" i="94" l="1"/>
  <c r="D28" i="94" l="1"/>
  <c r="D21" i="94" l="1"/>
  <c r="D15" i="94" l="1"/>
  <c r="D14" i="94" l="1"/>
  <c r="D195" i="2" l="1"/>
  <c r="D7" i="94" l="1"/>
  <c r="J50" i="94" l="1"/>
  <c r="I50" i="94"/>
  <c r="H50" i="94"/>
  <c r="F50" i="94"/>
  <c r="E50" i="94"/>
  <c r="K48" i="94"/>
  <c r="G48" i="94"/>
  <c r="C48" i="94"/>
  <c r="K47" i="94"/>
  <c r="C47" i="94"/>
  <c r="N46" i="94"/>
  <c r="C46" i="94"/>
  <c r="N45" i="94"/>
  <c r="C45" i="94"/>
  <c r="K44" i="94"/>
  <c r="G44" i="94"/>
  <c r="C44" i="94"/>
  <c r="K43" i="94"/>
  <c r="G43" i="94"/>
  <c r="C43" i="94"/>
  <c r="K42" i="94"/>
  <c r="G42" i="94"/>
  <c r="C42" i="94"/>
  <c r="U41" i="94"/>
  <c r="K41" i="94"/>
  <c r="G41" i="94"/>
  <c r="C41" i="94"/>
  <c r="X40" i="94"/>
  <c r="U40" i="94"/>
  <c r="K40" i="94"/>
  <c r="G40" i="94"/>
  <c r="C40" i="94"/>
  <c r="N39" i="94"/>
  <c r="C39" i="94"/>
  <c r="N38" i="94"/>
  <c r="C38" i="94"/>
  <c r="K37" i="94"/>
  <c r="C37" i="94"/>
  <c r="K36" i="94"/>
  <c r="C36" i="94"/>
  <c r="K35" i="94"/>
  <c r="G35" i="94"/>
  <c r="C35" i="94"/>
  <c r="U34" i="94"/>
  <c r="K34" i="94"/>
  <c r="G34" i="94"/>
  <c r="C34" i="94"/>
  <c r="X33" i="94"/>
  <c r="U33" i="94"/>
  <c r="K33" i="94"/>
  <c r="G33" i="94"/>
  <c r="C33" i="94"/>
  <c r="N32" i="94"/>
  <c r="C32" i="94"/>
  <c r="K31" i="94"/>
  <c r="N31" i="94" s="1"/>
  <c r="C31" i="94"/>
  <c r="K30" i="94"/>
  <c r="G30" i="94"/>
  <c r="C30" i="94"/>
  <c r="K29" i="94"/>
  <c r="G29" i="94"/>
  <c r="C29" i="94"/>
  <c r="K28" i="94"/>
  <c r="G28" i="94"/>
  <c r="C28" i="94"/>
  <c r="U27" i="94"/>
  <c r="K27" i="94"/>
  <c r="G27" i="94"/>
  <c r="C27" i="94"/>
  <c r="X26" i="94"/>
  <c r="U26" i="94"/>
  <c r="K26" i="94"/>
  <c r="G26" i="94"/>
  <c r="C26" i="94"/>
  <c r="N25" i="94"/>
  <c r="C25" i="94"/>
  <c r="N24" i="94"/>
  <c r="C24" i="94"/>
  <c r="K23" i="94"/>
  <c r="G23" i="94"/>
  <c r="C23" i="94"/>
  <c r="K22" i="94"/>
  <c r="G22" i="94"/>
  <c r="C22" i="94"/>
  <c r="K21" i="94"/>
  <c r="G21" i="94"/>
  <c r="C21" i="94"/>
  <c r="U20" i="94"/>
  <c r="K20" i="94"/>
  <c r="G20" i="94"/>
  <c r="C20" i="94"/>
  <c r="X19" i="94"/>
  <c r="U19" i="94"/>
  <c r="K19" i="94"/>
  <c r="G19" i="94"/>
  <c r="C19" i="94"/>
  <c r="N18" i="94"/>
  <c r="C18" i="94"/>
  <c r="N17" i="94"/>
  <c r="C17" i="94"/>
  <c r="K16" i="94"/>
  <c r="G16" i="94"/>
  <c r="C16" i="94"/>
  <c r="K15" i="94"/>
  <c r="G15" i="94"/>
  <c r="C15" i="94"/>
  <c r="K14" i="94"/>
  <c r="G14" i="94"/>
  <c r="C14" i="94"/>
  <c r="U13" i="94"/>
  <c r="K13" i="94"/>
  <c r="G13" i="94"/>
  <c r="C13" i="94"/>
  <c r="X12" i="94"/>
  <c r="U12" i="94"/>
  <c r="K12" i="94"/>
  <c r="G12" i="94"/>
  <c r="C12" i="94"/>
  <c r="N11" i="94"/>
  <c r="C11" i="94"/>
  <c r="N10" i="94"/>
  <c r="C10" i="94"/>
  <c r="K9" i="94"/>
  <c r="G9" i="94"/>
  <c r="C9" i="94"/>
  <c r="U8" i="94"/>
  <c r="K8" i="94"/>
  <c r="G8" i="94"/>
  <c r="X7" i="94"/>
  <c r="U7" i="94"/>
  <c r="K7" i="94"/>
  <c r="D50" i="94"/>
  <c r="C7" i="94"/>
  <c r="N43" i="94" l="1"/>
  <c r="N41" i="94"/>
  <c r="N42" i="94"/>
  <c r="N33" i="94"/>
  <c r="N29" i="94"/>
  <c r="N26" i="94"/>
  <c r="N22" i="94"/>
  <c r="N13" i="94"/>
  <c r="N9" i="94"/>
  <c r="N15" i="94"/>
  <c r="N35" i="94"/>
  <c r="N28" i="94"/>
  <c r="N14" i="94"/>
  <c r="N37" i="94"/>
  <c r="N19" i="94"/>
  <c r="N23" i="94"/>
  <c r="N30" i="94"/>
  <c r="N44" i="94"/>
  <c r="G7" i="94"/>
  <c r="N7" i="94" s="1"/>
  <c r="N12" i="94"/>
  <c r="N16" i="94"/>
  <c r="N27" i="94"/>
  <c r="N34" i="94"/>
  <c r="N48" i="94"/>
  <c r="N8" i="94"/>
  <c r="N20" i="94"/>
  <c r="N40" i="94"/>
  <c r="N47" i="94"/>
  <c r="N21" i="94"/>
  <c r="N36" i="94"/>
  <c r="N50" i="94" l="1"/>
  <c r="D194" i="2" l="1"/>
  <c r="D193" i="2" l="1"/>
  <c r="D192" i="2" l="1"/>
  <c r="D190" i="2" l="1"/>
  <c r="D191" i="2" l="1"/>
  <c r="E189" i="2" l="1"/>
  <c r="D189" i="2"/>
  <c r="D188" i="2" l="1"/>
  <c r="E187" i="2" l="1"/>
  <c r="D187" i="2" l="1"/>
  <c r="E186" i="2" l="1"/>
  <c r="D186" i="2"/>
  <c r="D185" i="2" l="1"/>
  <c r="D184" i="2" l="1"/>
  <c r="A308" i="12"/>
  <c r="A309" i="12" s="1"/>
  <c r="A411" i="12"/>
  <c r="A412" i="12" s="1"/>
  <c r="E644" i="1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E176" i="2"/>
  <c r="D177" i="2"/>
  <c r="E177" i="2"/>
  <c r="D178" i="2"/>
  <c r="D179" i="2"/>
  <c r="E179" i="2"/>
  <c r="D180" i="2"/>
  <c r="D181" i="2"/>
  <c r="E181" i="2"/>
  <c r="D182" i="2"/>
  <c r="E182" i="2"/>
  <c r="D183" i="2"/>
  <c r="E2" i="2" l="1"/>
  <c r="Y8" i="94" l="1"/>
  <c r="Y9" i="94" s="1"/>
  <c r="Y10" i="94" s="1"/>
  <c r="Y11" i="94" s="1"/>
  <c r="Y12" i="94" s="1"/>
  <c r="Y13" i="94" l="1"/>
  <c r="Y14" i="94" s="1"/>
  <c r="Y15" i="94" s="1"/>
  <c r="Y16" i="94" s="1"/>
  <c r="Y17" i="94" s="1"/>
  <c r="Y18" i="94" s="1"/>
  <c r="Y19" i="94" s="1"/>
  <c r="Y20" i="94" l="1"/>
  <c r="Y21" i="94" s="1"/>
  <c r="Y22" i="94" s="1"/>
  <c r="Y23" i="94" s="1"/>
  <c r="Y24" i="94" s="1"/>
  <c r="Y25" i="94" s="1"/>
  <c r="Y26" i="94" s="1"/>
  <c r="Z7" i="94"/>
  <c r="Z12" i="94" l="1"/>
  <c r="Y27" i="94"/>
  <c r="Y28" i="94" s="1"/>
  <c r="Y29" i="94" s="1"/>
  <c r="Y30" i="94" s="1"/>
  <c r="Y31" i="94" s="1"/>
  <c r="Y32" i="94" s="1"/>
  <c r="Y33" i="94" s="1"/>
  <c r="Y34" i="94" l="1"/>
  <c r="Y35" i="94" s="1"/>
  <c r="Z19" i="94"/>
  <c r="Y36" i="94" l="1"/>
  <c r="Y37" i="94" s="1"/>
  <c r="Z26" i="94"/>
  <c r="Y38" i="94" l="1"/>
  <c r="Y39" i="94" s="1"/>
  <c r="Y40" i="94" s="1"/>
  <c r="Y41" i="94" l="1"/>
  <c r="Z33" i="94" s="1"/>
  <c r="Y42" i="94" l="1"/>
  <c r="Y43" i="94" s="1"/>
  <c r="Y44" i="94" s="1"/>
  <c r="Y45" i="94" s="1"/>
  <c r="Y46" i="94" s="1"/>
  <c r="Y47" i="94" s="1"/>
  <c r="Y48" i="94" s="1"/>
  <c r="Z40" i="94" l="1"/>
  <c r="Y7" i="95"/>
  <c r="Y8" i="95" s="1"/>
  <c r="Y9" i="95" s="1"/>
  <c r="Y10" i="95" s="1"/>
  <c r="G61" i="95"/>
  <c r="Y11" i="95" l="1"/>
  <c r="Y12" i="95" s="1"/>
  <c r="Y13" i="95" l="1"/>
  <c r="Z7" i="95" s="1"/>
  <c r="Y14" i="95" l="1"/>
  <c r="Y15" i="95" l="1"/>
  <c r="Y16" i="95" l="1"/>
  <c r="Y17" i="95" l="1"/>
  <c r="Y18" i="95" l="1"/>
  <c r="Y19" i="95" l="1"/>
  <c r="Y20" i="95" l="1"/>
  <c r="Z12" i="95" s="1"/>
  <c r="Y21" i="95" l="1"/>
  <c r="Y22" i="95" l="1"/>
  <c r="Y23" i="95" l="1"/>
  <c r="Y24" i="95" l="1"/>
  <c r="Y25" i="95" l="1"/>
  <c r="Y26" i="95" s="1"/>
  <c r="AC26" i="95" s="1"/>
  <c r="Y27" i="95" l="1"/>
  <c r="Y28" i="95" l="1"/>
  <c r="Z19" i="95"/>
  <c r="Y29" i="95" l="1"/>
  <c r="Y30" i="95" l="1"/>
  <c r="Y31" i="95" s="1"/>
  <c r="Y32" i="95" s="1"/>
  <c r="Y33" i="95" s="1"/>
  <c r="Y34" i="95" s="1"/>
  <c r="Y35" i="95" s="1"/>
  <c r="Z26" i="95" l="1"/>
  <c r="Y36" i="95" l="1"/>
  <c r="Y37" i="95" s="1"/>
  <c r="Y38" i="95" s="1"/>
  <c r="Y39" i="95" s="1"/>
  <c r="Y40" i="95" s="1"/>
  <c r="Y41" i="95" l="1"/>
  <c r="Y42" i="95" l="1"/>
  <c r="Y43" i="95" s="1"/>
  <c r="Y44" i="95" s="1"/>
  <c r="Y45" i="95" s="1"/>
  <c r="Y46" i="95" s="1"/>
  <c r="Y47" i="95" s="1"/>
  <c r="Y48" i="95" s="1"/>
  <c r="Y49" i="95" s="1"/>
  <c r="Y50" i="95" s="1"/>
  <c r="Y51" i="95" s="1"/>
  <c r="Y52" i="95" s="1"/>
  <c r="Y53" i="95" s="1"/>
  <c r="Y54" i="95" s="1"/>
  <c r="Y55" i="95" s="1"/>
  <c r="Y7" i="96" s="1"/>
  <c r="Y8" i="96" s="1"/>
  <c r="Y9" i="96" s="1"/>
  <c r="Z33" i="95"/>
  <c r="G54" i="96" l="1"/>
  <c r="Y10" i="96"/>
  <c r="Z47" i="95"/>
  <c r="Z40" i="95"/>
  <c r="Y11" i="96" l="1"/>
  <c r="Q7" i="94"/>
  <c r="Y12" i="96" l="1"/>
  <c r="Y13" i="96" s="1"/>
  <c r="Y14" i="96" s="1"/>
  <c r="Y15" i="96" s="1"/>
  <c r="Q8" i="94"/>
  <c r="Q9" i="94" s="1"/>
  <c r="P7" i="94"/>
  <c r="O7" i="94" s="1"/>
  <c r="S7" i="94"/>
  <c r="R7" i="94" s="1"/>
  <c r="S8" i="94" l="1"/>
  <c r="R8" i="94" s="1"/>
  <c r="P8" i="94"/>
  <c r="O8" i="94" s="1"/>
  <c r="Y16" i="96" l="1"/>
  <c r="Y17" i="96" s="1"/>
  <c r="Y18" i="96" s="1"/>
  <c r="Y19" i="96" s="1"/>
  <c r="Y20" i="96" s="1"/>
  <c r="Y21" i="96" s="1"/>
  <c r="P9" i="94"/>
  <c r="O9" i="94" s="1"/>
  <c r="Q10" i="94"/>
  <c r="S9" i="94"/>
  <c r="R9" i="94" s="1"/>
  <c r="S10" i="94"/>
  <c r="R10" i="94" s="1"/>
  <c r="Z7" i="96" l="1"/>
  <c r="Q11" i="94"/>
  <c r="P10" i="94"/>
  <c r="O10" i="94" s="1"/>
  <c r="Q12" i="94" l="1"/>
  <c r="P11" i="94"/>
  <c r="O11" i="94" s="1"/>
  <c r="S11" i="94"/>
  <c r="R11" i="94" s="1"/>
  <c r="Y22" i="96" l="1"/>
  <c r="Y23" i="96" s="1"/>
  <c r="Y24" i="96" s="1"/>
  <c r="Y25" i="96" s="1"/>
  <c r="Y26" i="96" s="1"/>
  <c r="S12" i="94"/>
  <c r="R12" i="94" s="1"/>
  <c r="Q13" i="94"/>
  <c r="Q14" i="94" s="1"/>
  <c r="Q15" i="94" s="1"/>
  <c r="Q16" i="94" s="1"/>
  <c r="P12" i="94"/>
  <c r="O12" i="94" s="1"/>
  <c r="Y27" i="96" l="1"/>
  <c r="P13" i="94"/>
  <c r="O13" i="94" s="1"/>
  <c r="S14" i="94"/>
  <c r="R14" i="94" s="1"/>
  <c r="S13" i="94"/>
  <c r="R13" i="94" s="1"/>
  <c r="Y28" i="96" l="1"/>
  <c r="Z19" i="96"/>
  <c r="P14" i="94"/>
  <c r="O14" i="94" s="1"/>
  <c r="Y29" i="96" l="1"/>
  <c r="Y30" i="96" s="1"/>
  <c r="Y31" i="96" s="1"/>
  <c r="Y32" i="96" s="1"/>
  <c r="Y33" i="96" s="1"/>
  <c r="P15" i="94"/>
  <c r="O15" i="94" s="1"/>
  <c r="S16" i="94"/>
  <c r="R16" i="94" s="1"/>
  <c r="S15" i="94"/>
  <c r="R15" i="94" s="1"/>
  <c r="Y34" i="96" l="1"/>
  <c r="P16" i="94"/>
  <c r="O16" i="94" s="1"/>
  <c r="Q17" i="94"/>
  <c r="Y35" i="96" l="1"/>
  <c r="Z26" i="96"/>
  <c r="P17" i="94"/>
  <c r="O17" i="94" s="1"/>
  <c r="Q18" i="94"/>
  <c r="Q19" i="94" s="1"/>
  <c r="Q20" i="94" s="1"/>
  <c r="Q21" i="94" s="1"/>
  <c r="Q22" i="94" s="1"/>
  <c r="Q23" i="94" s="1"/>
  <c r="S17" i="94"/>
  <c r="R17" i="94" s="1"/>
  <c r="Y36" i="96" l="1"/>
  <c r="Y37" i="96" s="1"/>
  <c r="Y38" i="96" s="1"/>
  <c r="Y39" i="96" s="1"/>
  <c r="Y40" i="96" s="1"/>
  <c r="Y41" i="96" s="1"/>
  <c r="Y42" i="96" s="1"/>
  <c r="Y43" i="96" s="1"/>
  <c r="P18" i="94"/>
  <c r="O18" i="94" s="1"/>
  <c r="S18" i="94"/>
  <c r="R18" i="94" s="1"/>
  <c r="P19" i="94" l="1"/>
  <c r="O19" i="94" s="1"/>
  <c r="S19" i="94"/>
  <c r="R19" i="94" s="1"/>
  <c r="Z33" i="96" l="1"/>
  <c r="P20" i="94"/>
  <c r="O20" i="94" s="1"/>
  <c r="S20" i="94"/>
  <c r="R20" i="94" s="1"/>
  <c r="Y44" i="96" l="1"/>
  <c r="Y45" i="96" s="1"/>
  <c r="Y46" i="96" s="1"/>
  <c r="Y47" i="96" s="1"/>
  <c r="P21" i="94"/>
  <c r="O21" i="94" s="1"/>
  <c r="S21" i="94"/>
  <c r="R21" i="94" s="1"/>
  <c r="Y48" i="96" l="1"/>
  <c r="Y7" i="97" s="1"/>
  <c r="P22" i="94"/>
  <c r="O22" i="94" s="1"/>
  <c r="S22" i="94"/>
  <c r="R22" i="94" s="1"/>
  <c r="Y8" i="97" l="1"/>
  <c r="Y9" i="97" s="1"/>
  <c r="Z40" i="96"/>
  <c r="G55" i="97"/>
  <c r="Q24" i="94"/>
  <c r="P23" i="94"/>
  <c r="O23" i="94" s="1"/>
  <c r="S23" i="94"/>
  <c r="R23" i="94" s="1"/>
  <c r="Y10" i="97" l="1"/>
  <c r="Y11" i="97" s="1"/>
  <c r="Y12" i="97" s="1"/>
  <c r="Q25" i="94"/>
  <c r="P24" i="94"/>
  <c r="O24" i="94" s="1"/>
  <c r="S24" i="94"/>
  <c r="R24" i="94" s="1"/>
  <c r="Y13" i="97" l="1"/>
  <c r="P25" i="94"/>
  <c r="O25" i="94" s="1"/>
  <c r="Q26" i="94"/>
  <c r="S25" i="94"/>
  <c r="R25" i="94" s="1"/>
  <c r="Y14" i="97" l="1"/>
  <c r="Y15" i="97" s="1"/>
  <c r="Y16" i="97" s="1"/>
  <c r="Y17" i="97" s="1"/>
  <c r="Z7" i="97"/>
  <c r="Q27" i="94"/>
  <c r="Q28" i="94" s="1"/>
  <c r="Q29" i="94" s="1"/>
  <c r="Q30" i="94" s="1"/>
  <c r="P26" i="94"/>
  <c r="O26" i="94" s="1"/>
  <c r="S26" i="94"/>
  <c r="R26" i="94" s="1"/>
  <c r="Y18" i="97" l="1"/>
  <c r="Y19" i="97" s="1"/>
  <c r="Y20" i="97" s="1"/>
  <c r="Y21" i="97" s="1"/>
  <c r="Y22" i="97" s="1"/>
  <c r="Y23" i="97" s="1"/>
  <c r="Y24" i="97" s="1"/>
  <c r="Y25" i="97" s="1"/>
  <c r="Y26" i="97" s="1"/>
  <c r="Y27" i="97" s="1"/>
  <c r="Y28" i="97" s="1"/>
  <c r="Y29" i="97" s="1"/>
  <c r="Y30" i="97" s="1"/>
  <c r="Y31" i="97" s="1"/>
  <c r="Y32" i="97" s="1"/>
  <c r="Y33" i="97" s="1"/>
  <c r="Y34" i="97" s="1"/>
  <c r="P27" i="94"/>
  <c r="O27" i="94" s="1"/>
  <c r="S27" i="94"/>
  <c r="R27" i="94" s="1"/>
  <c r="Y35" i="97" l="1"/>
  <c r="Y36" i="97" s="1"/>
  <c r="Z12" i="97"/>
  <c r="Z19" i="97"/>
  <c r="Z26" i="97"/>
  <c r="P28" i="94"/>
  <c r="O28" i="94" s="1"/>
  <c r="S28" i="94"/>
  <c r="R28" i="94" s="1"/>
  <c r="Y37" i="97" l="1"/>
  <c r="Y38" i="97" s="1"/>
  <c r="P29" i="94"/>
  <c r="O29" i="94" s="1"/>
  <c r="S29" i="94"/>
  <c r="R29" i="94" s="1"/>
  <c r="Y39" i="97" l="1"/>
  <c r="Y40" i="97" s="1"/>
  <c r="Q31" i="94"/>
  <c r="P30" i="94"/>
  <c r="O30" i="94" s="1"/>
  <c r="S30" i="94"/>
  <c r="R30" i="94" s="1"/>
  <c r="Y41" i="97" l="1"/>
  <c r="Q32" i="94"/>
  <c r="Q33" i="94" s="1"/>
  <c r="Q34" i="94" s="1"/>
  <c r="P31" i="94"/>
  <c r="O31" i="94" s="1"/>
  <c r="S31" i="94"/>
  <c r="R31" i="94" s="1"/>
  <c r="Y42" i="97" l="1"/>
  <c r="Z33" i="97"/>
  <c r="P32" i="94"/>
  <c r="O32" i="94" s="1"/>
  <c r="S32" i="94"/>
  <c r="R32" i="94" s="1"/>
  <c r="Y43" i="97" l="1"/>
  <c r="P33" i="94"/>
  <c r="O33" i="94" s="1"/>
  <c r="S33" i="94"/>
  <c r="R33" i="94" s="1"/>
  <c r="Y44" i="97" l="1"/>
  <c r="Y45" i="97" s="1"/>
  <c r="Q35" i="94"/>
  <c r="P34" i="94"/>
  <c r="O34" i="94" s="1"/>
  <c r="S34" i="94"/>
  <c r="R34" i="94" s="1"/>
  <c r="Y46" i="97" l="1"/>
  <c r="Y47" i="97" s="1"/>
  <c r="Y48" i="97" s="1"/>
  <c r="S35" i="94"/>
  <c r="R35" i="94" s="1"/>
  <c r="Q36" i="94"/>
  <c r="Q37" i="94" s="1"/>
  <c r="P35" i="94"/>
  <c r="O35" i="94" s="1"/>
  <c r="G48" i="98" l="1"/>
  <c r="Y7" i="98"/>
  <c r="Z40" i="97"/>
  <c r="S36" i="94"/>
  <c r="R36" i="94" s="1"/>
  <c r="P36" i="94"/>
  <c r="O36" i="94" s="1"/>
  <c r="Y8" i="98" l="1"/>
  <c r="Y9" i="98" s="1"/>
  <c r="Y10" i="98" s="1"/>
  <c r="Y11" i="98" s="1"/>
  <c r="Y12" i="98" s="1"/>
  <c r="Q38" i="94"/>
  <c r="P37" i="94"/>
  <c r="O37" i="94" s="1"/>
  <c r="S37" i="94"/>
  <c r="R37" i="94" s="1"/>
  <c r="Y13" i="98" l="1"/>
  <c r="Y14" i="98" s="1"/>
  <c r="Y15" i="98" s="1"/>
  <c r="Y16" i="98" s="1"/>
  <c r="Y17" i="98" s="1"/>
  <c r="Y18" i="98" s="1"/>
  <c r="Y19" i="98" s="1"/>
  <c r="Q39" i="94"/>
  <c r="P38" i="94"/>
  <c r="O38" i="94" s="1"/>
  <c r="S38" i="94"/>
  <c r="R38" i="94" s="1"/>
  <c r="Z7" i="98" l="1"/>
  <c r="Y20" i="98"/>
  <c r="P39" i="94"/>
  <c r="O39" i="94" s="1"/>
  <c r="Q40" i="94"/>
  <c r="S39" i="94"/>
  <c r="R39" i="94" s="1"/>
  <c r="Y21" i="98" l="1"/>
  <c r="Y22" i="98" s="1"/>
  <c r="Y23" i="98" s="1"/>
  <c r="Y24" i="98" s="1"/>
  <c r="Y25" i="98" s="1"/>
  <c r="Y26" i="98" s="1"/>
  <c r="Y27" i="98" s="1"/>
  <c r="Z12" i="98"/>
  <c r="Q41" i="94"/>
  <c r="Q42" i="94" s="1"/>
  <c r="Q43" i="94" s="1"/>
  <c r="Q44" i="94" s="1"/>
  <c r="P40" i="94"/>
  <c r="O40" i="94" s="1"/>
  <c r="S40" i="94"/>
  <c r="R40" i="94" s="1"/>
  <c r="Y28" i="98" l="1"/>
  <c r="Y29" i="98" s="1"/>
  <c r="Y30" i="98" s="1"/>
  <c r="Y31" i="98" s="1"/>
  <c r="Y32" i="98" s="1"/>
  <c r="Y33" i="98" s="1"/>
  <c r="Y34" i="98" s="1"/>
  <c r="Y35" i="98" s="1"/>
  <c r="Z19" i="98"/>
  <c r="P41" i="94"/>
  <c r="O41" i="94" s="1"/>
  <c r="S41" i="94"/>
  <c r="R41" i="94" s="1"/>
  <c r="Y36" i="98" l="1"/>
  <c r="Y37" i="98" s="1"/>
  <c r="Z26" i="98"/>
  <c r="P42" i="94"/>
  <c r="O42" i="94" s="1"/>
  <c r="S42" i="94"/>
  <c r="R42" i="94" s="1"/>
  <c r="Y38" i="98" l="1"/>
  <c r="Y39" i="98" s="1"/>
  <c r="Y40" i="98" s="1"/>
  <c r="Y41" i="98" s="1"/>
  <c r="P43" i="94"/>
  <c r="O43" i="94" s="1"/>
  <c r="S43" i="94"/>
  <c r="R43" i="94" s="1"/>
  <c r="Z33" i="98" l="1"/>
  <c r="G69" i="99"/>
  <c r="Y7" i="99"/>
  <c r="Q45" i="94"/>
  <c r="P44" i="94"/>
  <c r="O44" i="94" s="1"/>
  <c r="S44" i="94"/>
  <c r="R44" i="94" s="1"/>
  <c r="Y8" i="99" l="1"/>
  <c r="Q46" i="94"/>
  <c r="Q47" i="94" s="1"/>
  <c r="P45" i="94"/>
  <c r="O45" i="94" s="1"/>
  <c r="S45" i="94"/>
  <c r="R45" i="94" s="1"/>
  <c r="Y9" i="99" l="1"/>
  <c r="P46" i="94"/>
  <c r="O46" i="94" s="1"/>
  <c r="S46" i="94"/>
  <c r="R46" i="94" s="1"/>
  <c r="Y10" i="99" l="1"/>
  <c r="Y11" i="99" s="1"/>
  <c r="Y12" i="99" s="1"/>
  <c r="P47" i="94"/>
  <c r="O47" i="94" s="1"/>
  <c r="Q48" i="94"/>
  <c r="G58" i="95" s="1"/>
  <c r="Q7" i="95" s="1"/>
  <c r="S47" i="94"/>
  <c r="R47" i="94" s="1"/>
  <c r="Y13" i="99" l="1"/>
  <c r="Q8" i="95"/>
  <c r="Q9" i="95" s="1"/>
  <c r="P7" i="95"/>
  <c r="O7" i="95" s="1"/>
  <c r="S7" i="95"/>
  <c r="R7" i="95" s="1"/>
  <c r="P48" i="94"/>
  <c r="O48" i="94" s="1"/>
  <c r="S48" i="94"/>
  <c r="R48" i="94" s="1"/>
  <c r="Y14" i="99" l="1"/>
  <c r="Z7" i="99"/>
  <c r="S8" i="95"/>
  <c r="R8" i="95" s="1"/>
  <c r="P8" i="95"/>
  <c r="O8" i="95" s="1"/>
  <c r="Y15" i="99" l="1"/>
  <c r="Y16" i="99" s="1"/>
  <c r="Y17" i="99" s="1"/>
  <c r="Y18" i="99" s="1"/>
  <c r="Y19" i="99" s="1"/>
  <c r="Q10" i="95"/>
  <c r="P9" i="95"/>
  <c r="O9" i="95" s="1"/>
  <c r="S9" i="95"/>
  <c r="R9" i="95" s="1"/>
  <c r="Y20" i="99" l="1"/>
  <c r="Y21" i="99" s="1"/>
  <c r="S10" i="95"/>
  <c r="R10" i="95" s="1"/>
  <c r="P10" i="95"/>
  <c r="O10" i="95" s="1"/>
  <c r="Q11" i="95"/>
  <c r="Q12" i="95" s="1"/>
  <c r="Z12" i="99" l="1"/>
  <c r="P11" i="95"/>
  <c r="O11" i="95" s="1"/>
  <c r="S11" i="95"/>
  <c r="R11" i="95" s="1"/>
  <c r="Y22" i="99" l="1"/>
  <c r="Y23" i="99" s="1"/>
  <c r="Y24" i="99" s="1"/>
  <c r="Y25" i="99" s="1"/>
  <c r="Y26" i="99" s="1"/>
  <c r="S12" i="95"/>
  <c r="R12" i="95" s="1"/>
  <c r="Q13" i="95"/>
  <c r="Q14" i="95" s="1"/>
  <c r="Q15" i="95" s="1"/>
  <c r="Q16" i="95" s="1"/>
  <c r="P12" i="95"/>
  <c r="O12" i="95" s="1"/>
  <c r="Y27" i="99" l="1"/>
  <c r="Y28" i="99" s="1"/>
  <c r="S14" i="95"/>
  <c r="P13" i="95"/>
  <c r="O13" i="95" s="1"/>
  <c r="S13" i="95"/>
  <c r="R13" i="95" s="1"/>
  <c r="Y29" i="99" l="1"/>
  <c r="Y30" i="99" s="1"/>
  <c r="Y31" i="99" s="1"/>
  <c r="Y32" i="99" s="1"/>
  <c r="Y33" i="99" s="1"/>
  <c r="Y34" i="99" s="1"/>
  <c r="Y35" i="99" s="1"/>
  <c r="Y36" i="99" s="1"/>
  <c r="Y37" i="99" s="1"/>
  <c r="Y38" i="99" s="1"/>
  <c r="Y39" i="99" s="1"/>
  <c r="Y40" i="99" s="1"/>
  <c r="Z19" i="99"/>
  <c r="S15" i="95"/>
  <c r="R15" i="95" s="1"/>
  <c r="P14" i="95"/>
  <c r="O14" i="95" s="1"/>
  <c r="R14" i="95"/>
  <c r="Y41" i="99" l="1"/>
  <c r="Z26" i="99"/>
  <c r="P15" i="95"/>
  <c r="O15" i="95" s="1"/>
  <c r="Y42" i="99" l="1"/>
  <c r="Y43" i="99" s="1"/>
  <c r="Y44" i="99" s="1"/>
  <c r="Z33" i="99"/>
  <c r="S16" i="95"/>
  <c r="R16" i="95" s="1"/>
  <c r="P16" i="95"/>
  <c r="O16" i="95" s="1"/>
  <c r="Q17" i="95"/>
  <c r="Y45" i="99" l="1"/>
  <c r="Y46" i="99" s="1"/>
  <c r="Y47" i="99" s="1"/>
  <c r="P17" i="95"/>
  <c r="O17" i="95" s="1"/>
  <c r="Q18" i="95"/>
  <c r="S17" i="95"/>
  <c r="R17" i="95" s="1"/>
  <c r="Y48" i="99" l="1"/>
  <c r="Z40" i="99" s="1"/>
  <c r="Q19" i="95"/>
  <c r="Q20" i="95" s="1"/>
  <c r="Q21" i="95" s="1"/>
  <c r="Q22" i="95" s="1"/>
  <c r="Q23" i="95" s="1"/>
  <c r="S18" i="95"/>
  <c r="R18" i="95" s="1"/>
  <c r="P18" i="95"/>
  <c r="O18" i="95" s="1"/>
  <c r="Y49" i="99" l="1"/>
  <c r="Y50" i="99" s="1"/>
  <c r="Y51" i="99" s="1"/>
  <c r="P19" i="95"/>
  <c r="O19" i="95" s="1"/>
  <c r="S19" i="95"/>
  <c r="R19" i="95" s="1"/>
  <c r="Y52" i="99" l="1"/>
  <c r="Y53" i="99" s="1"/>
  <c r="Y54" i="99" s="1"/>
  <c r="Y55" i="99" s="1"/>
  <c r="Y56" i="99" s="1"/>
  <c r="Y57" i="99" s="1"/>
  <c r="Y58" i="99" s="1"/>
  <c r="P20" i="95"/>
  <c r="O20" i="95" s="1"/>
  <c r="S20" i="95"/>
  <c r="R20" i="95" s="1"/>
  <c r="P21" i="95" l="1"/>
  <c r="O21" i="95" s="1"/>
  <c r="S21" i="95"/>
  <c r="R21" i="95" s="1"/>
  <c r="Z47" i="99" l="1"/>
  <c r="P22" i="95"/>
  <c r="O22" i="95" s="1"/>
  <c r="S22" i="95"/>
  <c r="R22" i="95" s="1"/>
  <c r="Y59" i="99" l="1"/>
  <c r="Y60" i="99" s="1"/>
  <c r="Y61" i="99" s="1"/>
  <c r="Y62" i="99" s="1"/>
  <c r="Y7" i="100" s="1"/>
  <c r="Q24" i="95"/>
  <c r="P23" i="95"/>
  <c r="O23" i="95" s="1"/>
  <c r="S23" i="95"/>
  <c r="R23" i="95" s="1"/>
  <c r="G62" i="100" l="1"/>
  <c r="Z54" i="99"/>
  <c r="Q25" i="95"/>
  <c r="Q26" i="95" s="1"/>
  <c r="P24" i="95"/>
  <c r="O24" i="95" s="1"/>
  <c r="S24" i="95"/>
  <c r="R24" i="95" s="1"/>
  <c r="Y8" i="100" l="1"/>
  <c r="Y9" i="100" s="1"/>
  <c r="Y10" i="100" s="1"/>
  <c r="Y11" i="100" s="1"/>
  <c r="Y12" i="100" s="1"/>
  <c r="Q27" i="95"/>
  <c r="Q28" i="95" s="1"/>
  <c r="Q29" i="95" s="1"/>
  <c r="S26" i="95"/>
  <c r="P25" i="95"/>
  <c r="O25" i="95" s="1"/>
  <c r="S25" i="95"/>
  <c r="R25" i="95" s="1"/>
  <c r="Y13" i="100" l="1"/>
  <c r="Y14" i="100" s="1"/>
  <c r="Y15" i="100" s="1"/>
  <c r="Y16" i="100" s="1"/>
  <c r="Y17" i="100" s="1"/>
  <c r="Y18" i="100" s="1"/>
  <c r="Y19" i="100" s="1"/>
  <c r="P26" i="95"/>
  <c r="O26" i="95" s="1"/>
  <c r="R26" i="95"/>
  <c r="Y20" i="100" l="1"/>
  <c r="Z7" i="100"/>
  <c r="P27" i="95"/>
  <c r="O27" i="95" s="1"/>
  <c r="Q30" i="95"/>
  <c r="S27" i="95"/>
  <c r="R27" i="95" s="1"/>
  <c r="Y21" i="100" l="1"/>
  <c r="Z12" i="100"/>
  <c r="P28" i="95"/>
  <c r="O28" i="95" s="1"/>
  <c r="S28" i="95"/>
  <c r="R28" i="95" s="1"/>
  <c r="Y22" i="100" l="1"/>
  <c r="Y23" i="100" s="1"/>
  <c r="P29" i="95"/>
  <c r="O29" i="95" s="1"/>
  <c r="S29" i="95"/>
  <c r="R29" i="95" s="1"/>
  <c r="Y24" i="100" l="1"/>
  <c r="Y25" i="100" s="1"/>
  <c r="Y26" i="100" s="1"/>
  <c r="Y27" i="100" s="1"/>
  <c r="Y28" i="100" s="1"/>
  <c r="Y29" i="100" s="1"/>
  <c r="Q31" i="95"/>
  <c r="P30" i="95"/>
  <c r="O30" i="95" s="1"/>
  <c r="S30" i="95"/>
  <c r="R30" i="95" s="1"/>
  <c r="Z19" i="100" l="1"/>
  <c r="Y30" i="100"/>
  <c r="Q32" i="95"/>
  <c r="Q33" i="95" s="1"/>
  <c r="Q34" i="95" s="1"/>
  <c r="Q35" i="95" s="1"/>
  <c r="P31" i="95"/>
  <c r="O31" i="95" s="1"/>
  <c r="S31" i="95"/>
  <c r="R31" i="95" s="1"/>
  <c r="Y31" i="100" l="1"/>
  <c r="Y32" i="100" s="1"/>
  <c r="Y33" i="100" s="1"/>
  <c r="Y34" i="100" s="1"/>
  <c r="Y35" i="100" s="1"/>
  <c r="Y36" i="100" s="1"/>
  <c r="Y37" i="100" s="1"/>
  <c r="Y38" i="100" s="1"/>
  <c r="Y39" i="100" s="1"/>
  <c r="Y40" i="100" s="1"/>
  <c r="Y41" i="100" s="1"/>
  <c r="Y42" i="100" s="1"/>
  <c r="Y43" i="100" s="1"/>
  <c r="Y44" i="100" s="1"/>
  <c r="Y45" i="100" s="1"/>
  <c r="Y46" i="100" s="1"/>
  <c r="Y47" i="100" s="1"/>
  <c r="Y48" i="100" s="1"/>
  <c r="Y49" i="100" s="1"/>
  <c r="Y50" i="100" s="1"/>
  <c r="Y51" i="100" s="1"/>
  <c r="Y52" i="100" s="1"/>
  <c r="Y53" i="100" s="1"/>
  <c r="S34" i="95"/>
  <c r="S32" i="95"/>
  <c r="R32" i="95" s="1"/>
  <c r="P32" i="95"/>
  <c r="O32" i="95" s="1"/>
  <c r="Y54" i="100" l="1"/>
  <c r="Y55" i="100" s="1"/>
  <c r="Z40" i="100"/>
  <c r="Z26" i="100"/>
  <c r="P33" i="95"/>
  <c r="O33" i="95" s="1"/>
  <c r="S33" i="95"/>
  <c r="R33" i="95" s="1"/>
  <c r="G62" i="101" l="1"/>
  <c r="Y7" i="101"/>
  <c r="Z33" i="100"/>
  <c r="Z47" i="100"/>
  <c r="P34" i="95"/>
  <c r="O34" i="95" s="1"/>
  <c r="R34" i="95"/>
  <c r="Y8" i="101" l="1"/>
  <c r="Y9" i="101" s="1"/>
  <c r="Y10" i="101" s="1"/>
  <c r="Y11" i="101" s="1"/>
  <c r="Y12" i="101" s="1"/>
  <c r="Q36" i="95"/>
  <c r="P35" i="95"/>
  <c r="O35" i="95" s="1"/>
  <c r="S35" i="95"/>
  <c r="R35" i="95" s="1"/>
  <c r="Y13" i="101" l="1"/>
  <c r="Y14" i="101" s="1"/>
  <c r="Y15" i="101" s="1"/>
  <c r="Y16" i="101" s="1"/>
  <c r="Y17" i="101" s="1"/>
  <c r="Y18" i="101" s="1"/>
  <c r="Y19" i="101" s="1"/>
  <c r="Q37" i="95"/>
  <c r="S36" i="95"/>
  <c r="R36" i="95" s="1"/>
  <c r="P36" i="95"/>
  <c r="O36" i="95" s="1"/>
  <c r="Y20" i="101" l="1"/>
  <c r="Z12" i="101" s="1"/>
  <c r="Z7" i="101"/>
  <c r="Q38" i="95"/>
  <c r="P37" i="95"/>
  <c r="O37" i="95" s="1"/>
  <c r="S37" i="95"/>
  <c r="R37" i="95" s="1"/>
  <c r="Y21" i="101" l="1"/>
  <c r="Y22" i="101" s="1"/>
  <c r="Y23" i="101" s="1"/>
  <c r="Y24" i="101" s="1"/>
  <c r="Y25" i="101" s="1"/>
  <c r="Y26" i="101" s="1"/>
  <c r="Y27" i="101" s="1"/>
  <c r="Y28" i="101" s="1"/>
  <c r="Q39" i="95"/>
  <c r="Q40" i="95" s="1"/>
  <c r="Q41" i="95" s="1"/>
  <c r="Q42" i="95" s="1"/>
  <c r="P38" i="95"/>
  <c r="O38" i="95" s="1"/>
  <c r="S38" i="95"/>
  <c r="R38" i="95" s="1"/>
  <c r="Y29" i="101" l="1"/>
  <c r="Y30" i="101" s="1"/>
  <c r="Y31" i="101" s="1"/>
  <c r="Y32" i="101" s="1"/>
  <c r="Z19" i="101"/>
  <c r="P39" i="95"/>
  <c r="O39" i="95" s="1"/>
  <c r="S39" i="95"/>
  <c r="R39" i="95" s="1"/>
  <c r="Y33" i="101" l="1"/>
  <c r="Y34" i="101" s="1"/>
  <c r="Y35" i="101" s="1"/>
  <c r="Q43" i="95"/>
  <c r="Q44" i="95" s="1"/>
  <c r="P40" i="95"/>
  <c r="O40" i="95" s="1"/>
  <c r="S40" i="95"/>
  <c r="R40" i="95" s="1"/>
  <c r="Y36" i="101" l="1"/>
  <c r="Z26" i="101"/>
  <c r="P41" i="95"/>
  <c r="O41" i="95" s="1"/>
  <c r="S41" i="95"/>
  <c r="R41" i="95" s="1"/>
  <c r="Y37" i="101" l="1"/>
  <c r="P42" i="95"/>
  <c r="O42" i="95" s="1"/>
  <c r="S42" i="95"/>
  <c r="R42" i="95" s="1"/>
  <c r="Y38" i="101" l="1"/>
  <c r="Y39" i="101" s="1"/>
  <c r="Y40" i="101" s="1"/>
  <c r="P43" i="95"/>
  <c r="O43" i="95" s="1"/>
  <c r="S43" i="95"/>
  <c r="R43" i="95" s="1"/>
  <c r="Y41" i="101" l="1"/>
  <c r="Q45" i="95"/>
  <c r="P44" i="95"/>
  <c r="O44" i="95" s="1"/>
  <c r="S44" i="95"/>
  <c r="R44" i="95" s="1"/>
  <c r="Y42" i="101" l="1"/>
  <c r="Z33" i="101"/>
  <c r="Q46" i="95"/>
  <c r="Q47" i="95" s="1"/>
  <c r="P45" i="95"/>
  <c r="O45" i="95" s="1"/>
  <c r="S45" i="95"/>
  <c r="R45" i="95" s="1"/>
  <c r="Y43" i="101" l="1"/>
  <c r="Q48" i="95"/>
  <c r="Q49" i="95" s="1"/>
  <c r="Q50" i="95" s="1"/>
  <c r="P46" i="95"/>
  <c r="O46" i="95" s="1"/>
  <c r="S46" i="95"/>
  <c r="R46" i="95" s="1"/>
  <c r="Y44" i="101" l="1"/>
  <c r="Y45" i="101" s="1"/>
  <c r="Q51" i="95"/>
  <c r="Q52" i="95" s="1"/>
  <c r="Q53" i="95" s="1"/>
  <c r="P47" i="95"/>
  <c r="O47" i="95" s="1"/>
  <c r="S47" i="95"/>
  <c r="R47" i="95" s="1"/>
  <c r="Y46" i="101" l="1"/>
  <c r="Y47" i="101" s="1"/>
  <c r="Q54" i="95"/>
  <c r="Q55" i="95" s="1"/>
  <c r="G51" i="96" s="1"/>
  <c r="Q7" i="96" s="1"/>
  <c r="P48" i="95"/>
  <c r="O48" i="95" s="1"/>
  <c r="S48" i="95"/>
  <c r="R48" i="95" s="1"/>
  <c r="Y48" i="101" l="1"/>
  <c r="Q8" i="96"/>
  <c r="S7" i="96"/>
  <c r="R7" i="96" s="1"/>
  <c r="P7" i="96"/>
  <c r="O7" i="96" s="1"/>
  <c r="P49" i="95"/>
  <c r="O49" i="95" s="1"/>
  <c r="S49" i="95"/>
  <c r="R49" i="95" s="1"/>
  <c r="Y49" i="101" l="1"/>
  <c r="Z40" i="101"/>
  <c r="S8" i="96"/>
  <c r="R8" i="96" s="1"/>
  <c r="Q9" i="96"/>
  <c r="P8" i="96"/>
  <c r="O8" i="96" s="1"/>
  <c r="P50" i="95"/>
  <c r="O50" i="95" s="1"/>
  <c r="S50" i="95"/>
  <c r="R50" i="95" s="1"/>
  <c r="Y50" i="101" l="1"/>
  <c r="Y51" i="101" s="1"/>
  <c r="Y52" i="101" s="1"/>
  <c r="Y53" i="101" s="1"/>
  <c r="Y54" i="101" s="1"/>
  <c r="Y55" i="101" s="1"/>
  <c r="Y7" i="102" s="1"/>
  <c r="P9" i="96"/>
  <c r="O9" i="96" s="1"/>
  <c r="Q10" i="96"/>
  <c r="S10" i="96" s="1"/>
  <c r="S9" i="96"/>
  <c r="R9" i="96" s="1"/>
  <c r="P51" i="95"/>
  <c r="O51" i="95" s="1"/>
  <c r="S51" i="95"/>
  <c r="R51" i="95" s="1"/>
  <c r="Z47" i="101" l="1"/>
  <c r="G55" i="102"/>
  <c r="R10" i="96"/>
  <c r="P10" i="96"/>
  <c r="O10" i="96" s="1"/>
  <c r="Q11" i="96"/>
  <c r="S11" i="96" s="1"/>
  <c r="R11" i="96" s="1"/>
  <c r="P52" i="95"/>
  <c r="O52" i="95" s="1"/>
  <c r="S52" i="95"/>
  <c r="R52" i="95" s="1"/>
  <c r="Y8" i="102" l="1"/>
  <c r="Y9" i="102" s="1"/>
  <c r="Y10" i="102" s="1"/>
  <c r="Y11" i="102" s="1"/>
  <c r="Q12" i="96"/>
  <c r="S12" i="96" s="1"/>
  <c r="P11" i="96"/>
  <c r="O11" i="96" s="1"/>
  <c r="P53" i="95"/>
  <c r="O53" i="95" s="1"/>
  <c r="S53" i="95"/>
  <c r="R53" i="95" s="1"/>
  <c r="Y12" i="102" l="1"/>
  <c r="R12" i="96"/>
  <c r="Q13" i="96"/>
  <c r="P12" i="96"/>
  <c r="O12" i="96" s="1"/>
  <c r="P54" i="95"/>
  <c r="O54" i="95" s="1"/>
  <c r="S54" i="95"/>
  <c r="R54" i="95" s="1"/>
  <c r="Y13" i="102" l="1"/>
  <c r="Y14" i="102" s="1"/>
  <c r="Y15" i="102" s="1"/>
  <c r="Y16" i="102" s="1"/>
  <c r="Y17" i="102" s="1"/>
  <c r="Y18" i="102" s="1"/>
  <c r="Y19" i="102" s="1"/>
  <c r="S13" i="96"/>
  <c r="R13" i="96" s="1"/>
  <c r="Q14" i="96"/>
  <c r="Q15" i="96" s="1"/>
  <c r="P13" i="96"/>
  <c r="O13" i="96" s="1"/>
  <c r="P55" i="95"/>
  <c r="O55" i="95" s="1"/>
  <c r="S55" i="95"/>
  <c r="R55" i="95" s="1"/>
  <c r="Z7" i="102" l="1"/>
  <c r="Y20" i="102"/>
  <c r="Y21" i="102" s="1"/>
  <c r="Y22" i="102" s="1"/>
  <c r="Y23" i="102" s="1"/>
  <c r="Y24" i="102" s="1"/>
  <c r="Y25" i="102" s="1"/>
  <c r="S15" i="96"/>
  <c r="R15" i="96" s="1"/>
  <c r="S14" i="96"/>
  <c r="R14" i="96" s="1"/>
  <c r="P14" i="96"/>
  <c r="O14" i="96" s="1"/>
  <c r="Y26" i="102" l="1"/>
  <c r="Y27" i="102" s="1"/>
  <c r="Y28" i="102" s="1"/>
  <c r="Y29" i="102" s="1"/>
  <c r="Z12" i="102"/>
  <c r="P15" i="96"/>
  <c r="O15" i="96" s="1"/>
  <c r="Q16" i="96"/>
  <c r="Y30" i="102" l="1"/>
  <c r="Y31" i="102" s="1"/>
  <c r="Y32" i="102" s="1"/>
  <c r="Y33" i="102" s="1"/>
  <c r="Y34" i="102" s="1"/>
  <c r="Y35" i="102" s="1"/>
  <c r="Y36" i="102" s="1"/>
  <c r="Y37" i="102" s="1"/>
  <c r="Y38" i="102" s="1"/>
  <c r="Y39" i="102" s="1"/>
  <c r="Y40" i="102" s="1"/>
  <c r="Z19" i="102"/>
  <c r="S16" i="96"/>
  <c r="R16" i="96" s="1"/>
  <c r="Q17" i="96"/>
  <c r="P16" i="96"/>
  <c r="O16" i="96" s="1"/>
  <c r="S17" i="96"/>
  <c r="R17" i="96" s="1"/>
  <c r="Y41" i="102" l="1"/>
  <c r="Z26" i="102"/>
  <c r="P17" i="96"/>
  <c r="O17" i="96" s="1"/>
  <c r="Q18" i="96"/>
  <c r="S18" i="96" s="1"/>
  <c r="R18" i="96" s="1"/>
  <c r="Y42" i="102" l="1"/>
  <c r="Y43" i="102" s="1"/>
  <c r="Y44" i="102" s="1"/>
  <c r="Z33" i="102"/>
  <c r="Q19" i="96"/>
  <c r="P18" i="96"/>
  <c r="O18" i="96" s="1"/>
  <c r="Y45" i="102" l="1"/>
  <c r="Y46" i="102" s="1"/>
  <c r="Y47" i="102" s="1"/>
  <c r="P19" i="96"/>
  <c r="O19" i="96" s="1"/>
  <c r="Q20" i="96"/>
  <c r="Q21" i="96" s="1"/>
  <c r="Q22" i="96" s="1"/>
  <c r="S19" i="96"/>
  <c r="R19" i="96" s="1"/>
  <c r="Y48" i="102" l="1"/>
  <c r="Y7" i="103" s="1"/>
  <c r="Y8" i="103" s="1"/>
  <c r="Y9" i="103" s="1"/>
  <c r="Y10" i="103" s="1"/>
  <c r="Y11" i="103" s="1"/>
  <c r="Y12" i="103" s="1"/>
  <c r="Y13" i="103" s="1"/>
  <c r="Q23" i="96"/>
  <c r="S22" i="96"/>
  <c r="P20" i="96"/>
  <c r="O20" i="96" s="1"/>
  <c r="S20" i="96"/>
  <c r="R20" i="96" s="1"/>
  <c r="G62" i="103" l="1"/>
  <c r="Z40" i="102"/>
  <c r="Y14" i="103"/>
  <c r="R22" i="96"/>
  <c r="P21" i="96"/>
  <c r="O21" i="96" s="1"/>
  <c r="S21" i="96"/>
  <c r="R21" i="96" s="1"/>
  <c r="Y15" i="103" l="1"/>
  <c r="S23" i="96"/>
  <c r="R23" i="96" s="1"/>
  <c r="P22" i="96"/>
  <c r="O22" i="96" s="1"/>
  <c r="Y16" i="103" l="1"/>
  <c r="Z7" i="103"/>
  <c r="Q24" i="96"/>
  <c r="S24" i="96" s="1"/>
  <c r="R24" i="96" s="1"/>
  <c r="P23" i="96"/>
  <c r="O23" i="96" s="1"/>
  <c r="Y17" i="103" l="1"/>
  <c r="Y18" i="103" s="1"/>
  <c r="Y19" i="103" s="1"/>
  <c r="Q25" i="96"/>
  <c r="P24" i="96"/>
  <c r="O24" i="96" s="1"/>
  <c r="Y20" i="103" l="1"/>
  <c r="S25" i="96"/>
  <c r="R25" i="96" s="1"/>
  <c r="Q26" i="96"/>
  <c r="Q27" i="96" s="1"/>
  <c r="Q28" i="96" s="1"/>
  <c r="Q29" i="96" s="1"/>
  <c r="Q30" i="96" s="1"/>
  <c r="P25" i="96"/>
  <c r="O25" i="96" s="1"/>
  <c r="Y21" i="103" l="1"/>
  <c r="Z12" i="103"/>
  <c r="S26" i="96"/>
  <c r="R26" i="96" s="1"/>
  <c r="P26" i="96"/>
  <c r="O26" i="96" s="1"/>
  <c r="S27" i="96"/>
  <c r="R27" i="96" s="1"/>
  <c r="Y22" i="103" l="1"/>
  <c r="Y23" i="103" s="1"/>
  <c r="Y24" i="103" s="1"/>
  <c r="Y25" i="103" s="1"/>
  <c r="Y26" i="103" s="1"/>
  <c r="P27" i="96"/>
  <c r="O27" i="96" s="1"/>
  <c r="S28" i="96"/>
  <c r="R28" i="96" s="1"/>
  <c r="Y27" i="103" l="1"/>
  <c r="P28" i="96"/>
  <c r="O28" i="96" s="1"/>
  <c r="S29" i="96"/>
  <c r="R29" i="96" s="1"/>
  <c r="Y28" i="103" l="1"/>
  <c r="Y29" i="103" s="1"/>
  <c r="Z19" i="103"/>
  <c r="P29" i="96"/>
  <c r="O29" i="96" s="1"/>
  <c r="S30" i="96"/>
  <c r="R30" i="96" s="1"/>
  <c r="Y30" i="103" l="1"/>
  <c r="Y31" i="103" s="1"/>
  <c r="Y32" i="103" s="1"/>
  <c r="Y33" i="103" s="1"/>
  <c r="P30" i="96"/>
  <c r="O30" i="96" s="1"/>
  <c r="Q31" i="96"/>
  <c r="S31" i="96" s="1"/>
  <c r="R31" i="96" s="1"/>
  <c r="Y34" i="103" l="1"/>
  <c r="Y35" i="103" s="1"/>
  <c r="Q32" i="96"/>
  <c r="P31" i="96"/>
  <c r="O31" i="96" s="1"/>
  <c r="Z26" i="103" l="1"/>
  <c r="Y36" i="103"/>
  <c r="Y37" i="103" s="1"/>
  <c r="Y38" i="103" s="1"/>
  <c r="Y39" i="103" s="1"/>
  <c r="Y40" i="103" s="1"/>
  <c r="Y41" i="103" s="1"/>
  <c r="S32" i="96"/>
  <c r="R32" i="96" s="1"/>
  <c r="Q33" i="96"/>
  <c r="Q34" i="96" s="1"/>
  <c r="Q35" i="96" s="1"/>
  <c r="Q36" i="96" s="1"/>
  <c r="P32" i="96"/>
  <c r="O32" i="96" s="1"/>
  <c r="Z33" i="103" l="1"/>
  <c r="Y42" i="103"/>
  <c r="S33" i="96"/>
  <c r="R33" i="96" s="1"/>
  <c r="P33" i="96"/>
  <c r="O33" i="96" s="1"/>
  <c r="Y43" i="103" l="1"/>
  <c r="Y44" i="103" s="1"/>
  <c r="Y45" i="103" s="1"/>
  <c r="Y46" i="103" s="1"/>
  <c r="Y47" i="103" s="1"/>
  <c r="S35" i="96"/>
  <c r="R35" i="96" s="1"/>
  <c r="P34" i="96"/>
  <c r="O34" i="96" s="1"/>
  <c r="S34" i="96"/>
  <c r="R34" i="96" s="1"/>
  <c r="Y48" i="103" l="1"/>
  <c r="Y49" i="103" s="1"/>
  <c r="P35" i="96"/>
  <c r="O35" i="96" s="1"/>
  <c r="Z40" i="103" l="1"/>
  <c r="Y50" i="103"/>
  <c r="Y51" i="103" s="1"/>
  <c r="Y52" i="103" s="1"/>
  <c r="Y53" i="103" s="1"/>
  <c r="Y54" i="103" s="1"/>
  <c r="Y55" i="103" s="1"/>
  <c r="Q37" i="96"/>
  <c r="S37" i="96" s="1"/>
  <c r="R37" i="96" s="1"/>
  <c r="P36" i="96"/>
  <c r="O36" i="96" s="1"/>
  <c r="S36" i="96"/>
  <c r="R36" i="96" s="1"/>
  <c r="G54" i="104" l="1"/>
  <c r="Z7" i="104"/>
  <c r="P37" i="96"/>
  <c r="O37" i="96" s="1"/>
  <c r="Q38" i="96"/>
  <c r="S38" i="96" s="1"/>
  <c r="R38" i="96" s="1"/>
  <c r="Z8" i="104" l="1"/>
  <c r="Z9" i="104" s="1"/>
  <c r="Z10" i="104" s="1"/>
  <c r="P38" i="96"/>
  <c r="O38" i="96" s="1"/>
  <c r="Q39" i="96"/>
  <c r="Z11" i="104" l="1"/>
  <c r="Z12" i="104" s="1"/>
  <c r="Z13" i="104" s="1"/>
  <c r="S39" i="96"/>
  <c r="R39" i="96" s="1"/>
  <c r="Q40" i="96"/>
  <c r="S40" i="96" s="1"/>
  <c r="R40" i="96" s="1"/>
  <c r="P39" i="96"/>
  <c r="O39" i="96" s="1"/>
  <c r="AA7" i="104" l="1"/>
  <c r="Z14" i="104"/>
  <c r="Z15" i="104" s="1"/>
  <c r="P40" i="96"/>
  <c r="O40" i="96" s="1"/>
  <c r="Q41" i="96"/>
  <c r="S41" i="96" l="1"/>
  <c r="R41" i="96" s="1"/>
  <c r="P41" i="96"/>
  <c r="O41" i="96" s="1"/>
  <c r="Q42" i="96"/>
  <c r="Z16" i="104" l="1"/>
  <c r="Z17" i="104" s="1"/>
  <c r="Z18" i="104" s="1"/>
  <c r="Z19" i="104" s="1"/>
  <c r="S42" i="96"/>
  <c r="R42" i="96" s="1"/>
  <c r="Q43" i="96"/>
  <c r="P42" i="96"/>
  <c r="O42" i="96" s="1"/>
  <c r="Z20" i="104" l="1"/>
  <c r="Z21" i="104" s="1"/>
  <c r="Z22" i="104" s="1"/>
  <c r="Z23" i="104" s="1"/>
  <c r="Z24" i="104" s="1"/>
  <c r="Z25" i="104" s="1"/>
  <c r="Z26" i="104" s="1"/>
  <c r="Z27" i="104" s="1"/>
  <c r="Z28" i="104" s="1"/>
  <c r="Z29" i="104" s="1"/>
  <c r="Z30" i="104" s="1"/>
  <c r="S43" i="96"/>
  <c r="R43" i="96" s="1"/>
  <c r="Q44" i="96"/>
  <c r="S44" i="96" s="1"/>
  <c r="R44" i="96" s="1"/>
  <c r="P43" i="96"/>
  <c r="O43" i="96" s="1"/>
  <c r="Z31" i="104" l="1"/>
  <c r="Z32" i="104" s="1"/>
  <c r="Z33" i="104" s="1"/>
  <c r="AA12" i="104"/>
  <c r="Q45" i="96"/>
  <c r="S45" i="96" s="1"/>
  <c r="R45" i="96" s="1"/>
  <c r="P44" i="96"/>
  <c r="O44" i="96" s="1"/>
  <c r="Z34" i="104" l="1"/>
  <c r="Z35" i="104" s="1"/>
  <c r="AA19" i="104"/>
  <c r="P45" i="96"/>
  <c r="O45" i="96" s="1"/>
  <c r="Q46" i="96"/>
  <c r="S46" i="96" s="1"/>
  <c r="R46" i="96" s="1"/>
  <c r="Z36" i="104" l="1"/>
  <c r="Z37" i="104" s="1"/>
  <c r="Z38" i="104" s="1"/>
  <c r="Z39" i="104" s="1"/>
  <c r="Z40" i="104" s="1"/>
  <c r="Z41" i="104" s="1"/>
  <c r="Z42" i="104" s="1"/>
  <c r="AA26" i="104"/>
  <c r="P46" i="96"/>
  <c r="O46" i="96" s="1"/>
  <c r="Q47" i="96"/>
  <c r="AA33" i="104" l="1"/>
  <c r="S47" i="96"/>
  <c r="R47" i="96" s="1"/>
  <c r="Q48" i="96"/>
  <c r="P47" i="96"/>
  <c r="O47" i="96" s="1"/>
  <c r="Z43" i="104" l="1"/>
  <c r="S48" i="96"/>
  <c r="R48" i="96" s="1"/>
  <c r="G52" i="97"/>
  <c r="Q7" i="97" s="1"/>
  <c r="P48" i="96"/>
  <c r="O48" i="96" s="1"/>
  <c r="Z44" i="104" l="1"/>
  <c r="Z45" i="104" s="1"/>
  <c r="Q8" i="97"/>
  <c r="Q9" i="97" s="1"/>
  <c r="P7" i="97"/>
  <c r="O7" i="97" s="1"/>
  <c r="S7" i="97"/>
  <c r="R7" i="97" s="1"/>
  <c r="Z46" i="104" l="1"/>
  <c r="Z47" i="104" s="1"/>
  <c r="Z48" i="104" s="1"/>
  <c r="Y7" i="105" s="1"/>
  <c r="S9" i="97"/>
  <c r="R9" i="97" s="1"/>
  <c r="P8" i="97"/>
  <c r="O8" i="97" s="1"/>
  <c r="S8" i="97"/>
  <c r="R8" i="97" s="1"/>
  <c r="AA40" i="104" l="1"/>
  <c r="Y8" i="105"/>
  <c r="Y9" i="105" s="1"/>
  <c r="Y10" i="105" s="1"/>
  <c r="Y11" i="105" s="1"/>
  <c r="Y12" i="105" s="1"/>
  <c r="Q10" i="97"/>
  <c r="P9" i="97"/>
  <c r="O9" i="97" s="1"/>
  <c r="Y13" i="105" l="1"/>
  <c r="Y14" i="105" s="1"/>
  <c r="Z7" i="105"/>
  <c r="S10" i="97"/>
  <c r="R10" i="97" s="1"/>
  <c r="Q11" i="97"/>
  <c r="S11" i="97" s="1"/>
  <c r="R11" i="97" s="1"/>
  <c r="P10" i="97"/>
  <c r="O10" i="97" s="1"/>
  <c r="Y15" i="105" l="1"/>
  <c r="P11" i="97"/>
  <c r="O11" i="97" s="1"/>
  <c r="Q12" i="97"/>
  <c r="Y16" i="105" l="1"/>
  <c r="Y17" i="105" s="1"/>
  <c r="Y18" i="105" s="1"/>
  <c r="Y19" i="105" s="1"/>
  <c r="Q13" i="97"/>
  <c r="S12" i="97"/>
  <c r="R12" i="97" s="1"/>
  <c r="P12" i="97"/>
  <c r="O12" i="97" s="1"/>
  <c r="Y20" i="105" l="1"/>
  <c r="Y21" i="105" s="1"/>
  <c r="Y22" i="105" s="1"/>
  <c r="S13" i="97"/>
  <c r="R13" i="97" s="1"/>
  <c r="Q14" i="97"/>
  <c r="S14" i="97" s="1"/>
  <c r="P13" i="97"/>
  <c r="O13" i="97" s="1"/>
  <c r="Z12" i="105" l="1"/>
  <c r="Y23" i="105"/>
  <c r="R14" i="97"/>
  <c r="P14" i="97"/>
  <c r="O14" i="97" s="1"/>
  <c r="Q15" i="97"/>
  <c r="Y24" i="105" l="1"/>
  <c r="Y25" i="105" s="1"/>
  <c r="Y26" i="105" s="1"/>
  <c r="S15" i="97"/>
  <c r="R15" i="97" s="1"/>
  <c r="P15" i="97"/>
  <c r="O15" i="97" s="1"/>
  <c r="Q16" i="97"/>
  <c r="S16" i="97" s="1"/>
  <c r="R16" i="97" s="1"/>
  <c r="Y27" i="105" l="1"/>
  <c r="Y28" i="105" s="1"/>
  <c r="Y29" i="105" s="1"/>
  <c r="Y30" i="105" s="1"/>
  <c r="Y31" i="105" s="1"/>
  <c r="Y32" i="105" s="1"/>
  <c r="Y33" i="105" s="1"/>
  <c r="Z19" i="105"/>
  <c r="Q17" i="97"/>
  <c r="P16" i="97"/>
  <c r="O16" i="97" s="1"/>
  <c r="Y34" i="105" l="1"/>
  <c r="Y35" i="105" s="1"/>
  <c r="Y36" i="105" s="1"/>
  <c r="Y37" i="105" s="1"/>
  <c r="Y38" i="105" s="1"/>
  <c r="Y39" i="105" s="1"/>
  <c r="Y40" i="105" s="1"/>
  <c r="Q18" i="97"/>
  <c r="Q19" i="97" s="1"/>
  <c r="Q20" i="97" s="1"/>
  <c r="Q21" i="97" s="1"/>
  <c r="Q22" i="97" s="1"/>
  <c r="Q23" i="97" s="1"/>
  <c r="P17" i="97"/>
  <c r="O17" i="97" s="1"/>
  <c r="S17" i="97"/>
  <c r="R17" i="97" s="1"/>
  <c r="Y41" i="105" l="1"/>
  <c r="Y42" i="105" s="1"/>
  <c r="Y43" i="105" s="1"/>
  <c r="Z26" i="105"/>
  <c r="P18" i="97"/>
  <c r="O18" i="97" s="1"/>
  <c r="S18" i="97"/>
  <c r="R18" i="97" s="1"/>
  <c r="Y44" i="105" l="1"/>
  <c r="Y45" i="105" s="1"/>
  <c r="Y46" i="105" s="1"/>
  <c r="Y47" i="105" s="1"/>
  <c r="Y48" i="105" s="1"/>
  <c r="X42" i="105"/>
  <c r="Z33" i="105"/>
  <c r="P19" i="97"/>
  <c r="O19" i="97" s="1"/>
  <c r="S19" i="97"/>
  <c r="R19" i="97" s="1"/>
  <c r="Y49" i="105" l="1"/>
  <c r="Y50" i="105" s="1"/>
  <c r="Y51" i="105" s="1"/>
  <c r="Y52" i="105" s="1"/>
  <c r="Y53" i="105" s="1"/>
  <c r="Y54" i="105" s="1"/>
  <c r="Y55" i="105" s="1"/>
  <c r="Y7" i="106" s="1"/>
  <c r="Y8" i="106" s="1"/>
  <c r="Y9" i="106" s="1"/>
  <c r="Y10" i="106" s="1"/>
  <c r="Y11" i="106" s="1"/>
  <c r="Y12" i="106" s="1"/>
  <c r="Z40" i="105"/>
  <c r="P20" i="97"/>
  <c r="O20" i="97" s="1"/>
  <c r="S20" i="97"/>
  <c r="R20" i="97" s="1"/>
  <c r="Z7" i="106" l="1"/>
  <c r="Y13" i="106"/>
  <c r="Y14" i="106" s="1"/>
  <c r="Y15" i="106" s="1"/>
  <c r="Y16" i="106" s="1"/>
  <c r="Y17" i="106" s="1"/>
  <c r="Y18" i="106" s="1"/>
  <c r="Y19" i="106" s="1"/>
  <c r="P21" i="97"/>
  <c r="O21" i="97" s="1"/>
  <c r="S21" i="97"/>
  <c r="R21" i="97" s="1"/>
  <c r="Y20" i="106" l="1"/>
  <c r="Y21" i="106" s="1"/>
  <c r="Y22" i="106" s="1"/>
  <c r="Y23" i="106" s="1"/>
  <c r="Y24" i="106" s="1"/>
  <c r="Y25" i="106" s="1"/>
  <c r="Y26" i="106" s="1"/>
  <c r="P22" i="97"/>
  <c r="O22" i="97" s="1"/>
  <c r="S22" i="97"/>
  <c r="R22" i="97" s="1"/>
  <c r="Y27" i="106" l="1"/>
  <c r="Z12" i="106"/>
  <c r="Q24" i="97"/>
  <c r="P23" i="97"/>
  <c r="O23" i="97" s="1"/>
  <c r="S23" i="97"/>
  <c r="R23" i="97" s="1"/>
  <c r="Y28" i="106" l="1"/>
  <c r="Y29" i="106" s="1"/>
  <c r="Y30" i="106" s="1"/>
  <c r="Y31" i="106" s="1"/>
  <c r="Y32" i="106" s="1"/>
  <c r="Y33" i="106" s="1"/>
  <c r="Y34" i="106" s="1"/>
  <c r="Z19" i="106"/>
  <c r="Q25" i="97"/>
  <c r="Q26" i="97" s="1"/>
  <c r="Q27" i="97" s="1"/>
  <c r="Q28" i="97" s="1"/>
  <c r="Q29" i="97" s="1"/>
  <c r="P24" i="97"/>
  <c r="O24" i="97" s="1"/>
  <c r="S24" i="97"/>
  <c r="R24" i="97" s="1"/>
  <c r="Y35" i="106" l="1"/>
  <c r="Y36" i="106" s="1"/>
  <c r="Y37" i="106" s="1"/>
  <c r="Y38" i="106" s="1"/>
  <c r="Y39" i="106" s="1"/>
  <c r="Y40" i="106" s="1"/>
  <c r="Y41" i="106" s="1"/>
  <c r="Z26" i="106"/>
  <c r="P25" i="97"/>
  <c r="O25" i="97" s="1"/>
  <c r="S25" i="97"/>
  <c r="R25" i="97" s="1"/>
  <c r="Y42" i="106" l="1"/>
  <c r="Z29" i="106"/>
  <c r="P26" i="97"/>
  <c r="O26" i="97" s="1"/>
  <c r="S26" i="97"/>
  <c r="R26" i="97" s="1"/>
  <c r="Y43" i="106" l="1"/>
  <c r="Y44" i="106" s="1"/>
  <c r="Y45" i="106" s="1"/>
  <c r="P27" i="97"/>
  <c r="O27" i="97" s="1"/>
  <c r="S27" i="97"/>
  <c r="R27" i="97" s="1"/>
  <c r="Y46" i="106" l="1"/>
  <c r="Y47" i="106" s="1"/>
  <c r="Y48" i="106" s="1"/>
  <c r="Y49" i="106" s="1"/>
  <c r="Y50" i="106" s="1"/>
  <c r="P28" i="97"/>
  <c r="O28" i="97" s="1"/>
  <c r="S28" i="97"/>
  <c r="R28" i="97" s="1"/>
  <c r="Z40" i="106" l="1"/>
  <c r="Y51" i="106"/>
  <c r="Y52" i="106" s="1"/>
  <c r="Y53" i="106" s="1"/>
  <c r="Q30" i="97"/>
  <c r="P29" i="97"/>
  <c r="O29" i="97" s="1"/>
  <c r="S29" i="97"/>
  <c r="R29" i="97" s="1"/>
  <c r="Y54" i="106" l="1"/>
  <c r="Y55" i="106" s="1"/>
  <c r="Y7" i="107" s="1"/>
  <c r="Q31" i="97"/>
  <c r="P30" i="97"/>
  <c r="O30" i="97" s="1"/>
  <c r="S30" i="97"/>
  <c r="R30" i="97" s="1"/>
  <c r="Y8" i="107" l="1"/>
  <c r="Y9" i="107" s="1"/>
  <c r="Y10" i="107" s="1"/>
  <c r="Y11" i="107" s="1"/>
  <c r="Y12" i="107" s="1"/>
  <c r="Q32" i="97"/>
  <c r="Q33" i="97" s="1"/>
  <c r="S33" i="97" s="1"/>
  <c r="P31" i="97"/>
  <c r="O31" i="97" s="1"/>
  <c r="S31" i="97"/>
  <c r="R31" i="97" s="1"/>
  <c r="Y13" i="107" l="1"/>
  <c r="P32" i="97"/>
  <c r="O32" i="97" s="1"/>
  <c r="S32" i="97"/>
  <c r="R32" i="97" s="1"/>
  <c r="Y14" i="107" l="1"/>
  <c r="Y15" i="107" s="1"/>
  <c r="Z7" i="107"/>
  <c r="P33" i="97"/>
  <c r="O33" i="97" s="1"/>
  <c r="Q34" i="97"/>
  <c r="Q35" i="97" s="1"/>
  <c r="R33" i="97"/>
  <c r="Y16" i="107" l="1"/>
  <c r="Y17" i="107" s="1"/>
  <c r="P34" i="97"/>
  <c r="O34" i="97" s="1"/>
  <c r="S34" i="97"/>
  <c r="R34" i="97" s="1"/>
  <c r="Y18" i="107" l="1"/>
  <c r="Y19" i="107" s="1"/>
  <c r="Y20" i="107" s="1"/>
  <c r="Y21" i="107" s="1"/>
  <c r="Q36" i="97"/>
  <c r="P35" i="97"/>
  <c r="O35" i="97" s="1"/>
  <c r="S35" i="97"/>
  <c r="R35" i="97" s="1"/>
  <c r="Z12" i="107" l="1"/>
  <c r="Y22" i="107"/>
  <c r="Q37" i="97"/>
  <c r="P36" i="97"/>
  <c r="O36" i="97" s="1"/>
  <c r="S36" i="97"/>
  <c r="R36" i="97" s="1"/>
  <c r="Y23" i="107" l="1"/>
  <c r="Y24" i="107" s="1"/>
  <c r="Y25" i="107" s="1"/>
  <c r="Y26" i="107" s="1"/>
  <c r="Y27" i="107" s="1"/>
  <c r="Y28" i="107" s="1"/>
  <c r="Y29" i="107" s="1"/>
  <c r="Y30" i="107" s="1"/>
  <c r="Y31" i="107" s="1"/>
  <c r="Y32" i="107" s="1"/>
  <c r="Y33" i="107" s="1"/>
  <c r="Y34" i="107" s="1"/>
  <c r="Y35" i="107" s="1"/>
  <c r="Q38" i="97"/>
  <c r="P37" i="97"/>
  <c r="O37" i="97" s="1"/>
  <c r="S37" i="97"/>
  <c r="R37" i="97" s="1"/>
  <c r="Z19" i="107" l="1"/>
  <c r="Z26" i="107"/>
  <c r="Y36" i="107"/>
  <c r="Y37" i="107" s="1"/>
  <c r="Y38" i="107" s="1"/>
  <c r="Y39" i="107" s="1"/>
  <c r="Y40" i="107" s="1"/>
  <c r="Y41" i="107" s="1"/>
  <c r="Y7" i="109" s="1"/>
  <c r="Q39" i="97"/>
  <c r="P38" i="97"/>
  <c r="O38" i="97" s="1"/>
  <c r="S38" i="97"/>
  <c r="R38" i="97" s="1"/>
  <c r="Y8" i="109" l="1"/>
  <c r="Z33" i="107"/>
  <c r="Q40" i="97"/>
  <c r="Q41" i="97" s="1"/>
  <c r="Q42" i="97" s="1"/>
  <c r="S39" i="97"/>
  <c r="R39" i="97" s="1"/>
  <c r="P39" i="97"/>
  <c r="O39" i="97" s="1"/>
  <c r="Y9" i="109" l="1"/>
  <c r="Y10" i="109" s="1"/>
  <c r="Y11" i="109" s="1"/>
  <c r="Y12" i="109" s="1"/>
  <c r="Y13" i="109" s="1"/>
  <c r="Y14" i="109" s="1"/>
  <c r="Y15" i="109" s="1"/>
  <c r="Y16" i="109" s="1"/>
  <c r="Y17" i="109" s="1"/>
  <c r="Y18" i="109" s="1"/>
  <c r="Y19" i="109" s="1"/>
  <c r="P40" i="97"/>
  <c r="O40" i="97" s="1"/>
  <c r="S40" i="97"/>
  <c r="R40" i="97" s="1"/>
  <c r="Y20" i="109" l="1"/>
  <c r="Y21" i="109" s="1"/>
  <c r="Y22" i="109" s="1"/>
  <c r="Y23" i="109" s="1"/>
  <c r="Y24" i="109" s="1"/>
  <c r="Y25" i="109" s="1"/>
  <c r="Y26" i="109" s="1"/>
  <c r="Z7" i="109"/>
  <c r="P41" i="97"/>
  <c r="O41" i="97" s="1"/>
  <c r="S41" i="97"/>
  <c r="R41" i="97" s="1"/>
  <c r="Y27" i="109" l="1"/>
  <c r="Y28" i="109" s="1"/>
  <c r="Y29" i="109" s="1"/>
  <c r="Y30" i="109" s="1"/>
  <c r="Y31" i="109" s="1"/>
  <c r="Y32" i="109" s="1"/>
  <c r="Y33" i="109" s="1"/>
  <c r="Z12" i="109"/>
  <c r="P42" i="97"/>
  <c r="O42" i="97" s="1"/>
  <c r="Q43" i="97"/>
  <c r="S42" i="97"/>
  <c r="R42" i="97" s="1"/>
  <c r="Z19" i="109" l="1"/>
  <c r="Y34" i="109"/>
  <c r="Y35" i="109" s="1"/>
  <c r="Y36" i="109" s="1"/>
  <c r="Y37" i="109" s="1"/>
  <c r="Y38" i="109" s="1"/>
  <c r="Y39" i="109" s="1"/>
  <c r="Y40" i="109" s="1"/>
  <c r="Y41" i="109" s="1"/>
  <c r="Y42" i="109" s="1"/>
  <c r="Y43" i="109" s="1"/>
  <c r="Y44" i="109" s="1"/>
  <c r="Y45" i="109" s="1"/>
  <c r="Y46" i="109" s="1"/>
  <c r="Y47" i="109" s="1"/>
  <c r="Y48" i="109" s="1"/>
  <c r="Q44" i="97"/>
  <c r="P43" i="97"/>
  <c r="O43" i="97" s="1"/>
  <c r="S43" i="97"/>
  <c r="R43" i="97" s="1"/>
  <c r="Z40" i="109" l="1"/>
  <c r="Y7" i="110"/>
  <c r="Z33" i="109"/>
  <c r="Z26" i="109"/>
  <c r="Q45" i="97"/>
  <c r="P44" i="97"/>
  <c r="O44" i="97" s="1"/>
  <c r="S44" i="97"/>
  <c r="R44" i="97" s="1"/>
  <c r="Y8" i="110" l="1"/>
  <c r="Q46" i="97"/>
  <c r="Q47" i="97" s="1"/>
  <c r="P45" i="97"/>
  <c r="O45" i="97" s="1"/>
  <c r="S45" i="97"/>
  <c r="R45" i="97" s="1"/>
  <c r="Y9" i="110" l="1"/>
  <c r="Y10" i="110" s="1"/>
  <c r="P46" i="97"/>
  <c r="O46" i="97" s="1"/>
  <c r="S46" i="97"/>
  <c r="R46" i="97" s="1"/>
  <c r="Y11" i="110" l="1"/>
  <c r="Y12" i="110" s="1"/>
  <c r="Y13" i="110" s="1"/>
  <c r="Y14" i="110" s="1"/>
  <c r="Y15" i="110" s="1"/>
  <c r="Y16" i="110" s="1"/>
  <c r="Y17" i="110" s="1"/>
  <c r="Y18" i="110" s="1"/>
  <c r="Y19" i="110" s="1"/>
  <c r="Y20" i="110" s="1"/>
  <c r="Y21" i="110" s="1"/>
  <c r="P47" i="97"/>
  <c r="O47" i="97" s="1"/>
  <c r="Q48" i="97"/>
  <c r="G45" i="98" s="1"/>
  <c r="Q7" i="98" s="1"/>
  <c r="S47" i="97"/>
  <c r="R47" i="97" s="1"/>
  <c r="Z7" i="110" l="1"/>
  <c r="Y22" i="110"/>
  <c r="Z12" i="110"/>
  <c r="Q8" i="98"/>
  <c r="Q9" i="98" s="1"/>
  <c r="S9" i="98" s="1"/>
  <c r="P7" i="98"/>
  <c r="O7" i="98" s="1"/>
  <c r="S7" i="98"/>
  <c r="R7" i="98" s="1"/>
  <c r="P48" i="97"/>
  <c r="O48" i="97" s="1"/>
  <c r="S48" i="97"/>
  <c r="R48" i="97" s="1"/>
  <c r="Y23" i="110" l="1"/>
  <c r="Y24" i="110" s="1"/>
  <c r="Y25" i="110" s="1"/>
  <c r="Y26" i="110" s="1"/>
  <c r="Y27" i="110" s="1"/>
  <c r="Y28" i="110" s="1"/>
  <c r="Y29" i="110" s="1"/>
  <c r="Y30" i="110" s="1"/>
  <c r="Y31" i="110" s="1"/>
  <c r="Y32" i="110" s="1"/>
  <c r="Y33" i="110" s="1"/>
  <c r="Y34" i="110" s="1"/>
  <c r="Y35" i="110" s="1"/>
  <c r="Y36" i="110" s="1"/>
  <c r="Y37" i="110" s="1"/>
  <c r="Y38" i="110" s="1"/>
  <c r="Y39" i="110" s="1"/>
  <c r="Y40" i="110" s="1"/>
  <c r="S8" i="98"/>
  <c r="R8" i="98" s="1"/>
  <c r="P8" i="98"/>
  <c r="O8" i="98" s="1"/>
  <c r="Z19" i="110" l="1"/>
  <c r="Z26" i="110"/>
  <c r="Y41" i="110"/>
  <c r="Y42" i="110" s="1"/>
  <c r="Y43" i="110" s="1"/>
  <c r="P9" i="98"/>
  <c r="O9" i="98" s="1"/>
  <c r="Q10" i="98"/>
  <c r="R9" i="98"/>
  <c r="Y44" i="110" l="1"/>
  <c r="Y45" i="110" s="1"/>
  <c r="Y46" i="110" s="1"/>
  <c r="Y47" i="110" s="1"/>
  <c r="Z33" i="110"/>
  <c r="S10" i="98"/>
  <c r="R10" i="98" s="1"/>
  <c r="P10" i="98"/>
  <c r="O10" i="98" s="1"/>
  <c r="Q11" i="98"/>
  <c r="Q12" i="98" s="1"/>
  <c r="Q13" i="98" s="1"/>
  <c r="Q14" i="98" s="1"/>
  <c r="Q15" i="98" s="1"/>
  <c r="Q16" i="98" s="1"/>
  <c r="Y48" i="110" l="1"/>
  <c r="Y49" i="110" s="1"/>
  <c r="Y50" i="110" s="1"/>
  <c r="Y51" i="110" s="1"/>
  <c r="Y52" i="110" s="1"/>
  <c r="Y53" i="110" s="1"/>
  <c r="Y54" i="110" s="1"/>
  <c r="Y55" i="110" s="1"/>
  <c r="Z40" i="110"/>
  <c r="P11" i="98"/>
  <c r="O11" i="98" s="1"/>
  <c r="S11" i="98"/>
  <c r="R11" i="98" s="1"/>
  <c r="S12" i="98"/>
  <c r="R12" i="98" s="1"/>
  <c r="Y56" i="110" l="1"/>
  <c r="Y57" i="110" s="1"/>
  <c r="Y58" i="110" s="1"/>
  <c r="Y59" i="110" s="1"/>
  <c r="Y60" i="110" s="1"/>
  <c r="Y61" i="110" s="1"/>
  <c r="Y62" i="110" s="1"/>
  <c r="Y7" i="111" s="1"/>
  <c r="P12" i="98"/>
  <c r="O12" i="98" s="1"/>
  <c r="Y8" i="111" l="1"/>
  <c r="Y9" i="111" s="1"/>
  <c r="Y10" i="111" s="1"/>
  <c r="Y11" i="111" s="1"/>
  <c r="Y12" i="111" s="1"/>
  <c r="S13" i="98"/>
  <c r="R13" i="98" s="1"/>
  <c r="P13" i="98"/>
  <c r="O13" i="98" s="1"/>
  <c r="Y13" i="111" l="1"/>
  <c r="Y14" i="111" s="1"/>
  <c r="Y15" i="111" s="1"/>
  <c r="Y16" i="111" s="1"/>
  <c r="Y17" i="111" s="1"/>
  <c r="Y18" i="111" s="1"/>
  <c r="Y19" i="111" s="1"/>
  <c r="S14" i="98"/>
  <c r="R14" i="98" s="1"/>
  <c r="P14" i="98"/>
  <c r="O14" i="98" s="1"/>
  <c r="Y20" i="111" l="1"/>
  <c r="Y21" i="111" s="1"/>
  <c r="Y22" i="111" s="1"/>
  <c r="Y23" i="111" s="1"/>
  <c r="Y24" i="111" s="1"/>
  <c r="Y25" i="111" s="1"/>
  <c r="Y26" i="111" s="1"/>
  <c r="Z7" i="111"/>
  <c r="P15" i="98"/>
  <c r="O15" i="98" s="1"/>
  <c r="S15" i="98"/>
  <c r="R15" i="98" s="1"/>
  <c r="Z12" i="111" l="1"/>
  <c r="Y27" i="111"/>
  <c r="Y28" i="111" s="1"/>
  <c r="Y29" i="111" s="1"/>
  <c r="Y30" i="111" s="1"/>
  <c r="Y31" i="111" s="1"/>
  <c r="Y32" i="111" s="1"/>
  <c r="Y33" i="111" s="1"/>
  <c r="Q17" i="98"/>
  <c r="P16" i="98"/>
  <c r="O16" i="98" s="1"/>
  <c r="S16" i="98"/>
  <c r="R16" i="98" s="1"/>
  <c r="Y34" i="111" l="1"/>
  <c r="Y35" i="111" s="1"/>
  <c r="Y36" i="111" s="1"/>
  <c r="Y37" i="111" s="1"/>
  <c r="Y38" i="111" s="1"/>
  <c r="Y39" i="111" s="1"/>
  <c r="Y40" i="111" s="1"/>
  <c r="Z19" i="111"/>
  <c r="P17" i="98"/>
  <c r="O17" i="98" s="1"/>
  <c r="Q18" i="98"/>
  <c r="Q19" i="98" s="1"/>
  <c r="S17" i="98"/>
  <c r="R17" i="98" s="1"/>
  <c r="Z26" i="111" l="1"/>
  <c r="Y41" i="111"/>
  <c r="Y42" i="111" s="1"/>
  <c r="Y43" i="111" s="1"/>
  <c r="Y44" i="111" s="1"/>
  <c r="Y45" i="111" s="1"/>
  <c r="Y46" i="111" s="1"/>
  <c r="Y47" i="111" s="1"/>
  <c r="Y48" i="111" s="1"/>
  <c r="Y49" i="111" s="1"/>
  <c r="Y50" i="111" s="1"/>
  <c r="Q20" i="98"/>
  <c r="Q21" i="98" s="1"/>
  <c r="Q22" i="98" s="1"/>
  <c r="P18" i="98"/>
  <c r="O18" i="98" s="1"/>
  <c r="S18" i="98"/>
  <c r="R18" i="98" s="1"/>
  <c r="Y51" i="111" l="1"/>
  <c r="Y52" i="111" s="1"/>
  <c r="Y53" i="111" s="1"/>
  <c r="Y54" i="111" s="1"/>
  <c r="Y55" i="111" s="1"/>
  <c r="Y7" i="112" s="1"/>
  <c r="Y8" i="112" s="1"/>
  <c r="Y9" i="112" s="1"/>
  <c r="Y10" i="112" s="1"/>
  <c r="Y11" i="112" s="1"/>
  <c r="Y12" i="112" s="1"/>
  <c r="Z40" i="111"/>
  <c r="Z33" i="111"/>
  <c r="P19" i="98"/>
  <c r="O19" i="98" s="1"/>
  <c r="S19" i="98"/>
  <c r="R19" i="98" s="1"/>
  <c r="Y13" i="112" l="1"/>
  <c r="P20" i="98"/>
  <c r="O20" i="98" s="1"/>
  <c r="Q23" i="98"/>
  <c r="S20" i="98"/>
  <c r="R20" i="98" s="1"/>
  <c r="Y14" i="112" l="1"/>
  <c r="Z7" i="112"/>
  <c r="P21" i="98"/>
  <c r="O21" i="98" s="1"/>
  <c r="S21" i="98"/>
  <c r="R21" i="98" s="1"/>
  <c r="Y15" i="112" l="1"/>
  <c r="Y16" i="112" s="1"/>
  <c r="Y17" i="112" s="1"/>
  <c r="Y18" i="112" s="1"/>
  <c r="Y19" i="112" s="1"/>
  <c r="P22" i="98"/>
  <c r="O22" i="98" s="1"/>
  <c r="S22" i="98"/>
  <c r="R22" i="98" s="1"/>
  <c r="Y20" i="112" l="1"/>
  <c r="Q24" i="98"/>
  <c r="P23" i="98"/>
  <c r="O23" i="98" s="1"/>
  <c r="S23" i="98"/>
  <c r="R23" i="98" s="1"/>
  <c r="Y21" i="112" l="1"/>
  <c r="Z12" i="112"/>
  <c r="Q25" i="98"/>
  <c r="P24" i="98"/>
  <c r="O24" i="98" s="1"/>
  <c r="S24" i="98"/>
  <c r="R24" i="98" s="1"/>
  <c r="Y22" i="112" l="1"/>
  <c r="Y23" i="112" s="1"/>
  <c r="Y24" i="112" s="1"/>
  <c r="Y25" i="112" s="1"/>
  <c r="Y26" i="112" s="1"/>
  <c r="Q26" i="98"/>
  <c r="Q27" i="98" s="1"/>
  <c r="P25" i="98"/>
  <c r="O25" i="98" s="1"/>
  <c r="S25" i="98"/>
  <c r="R25" i="98" s="1"/>
  <c r="Y27" i="112" l="1"/>
  <c r="Y28" i="112" s="1"/>
  <c r="Y29" i="112" s="1"/>
  <c r="Y30" i="112" s="1"/>
  <c r="Y31" i="112" s="1"/>
  <c r="Y32" i="112" s="1"/>
  <c r="Y33" i="112" s="1"/>
  <c r="P26" i="98"/>
  <c r="O26" i="98" s="1"/>
  <c r="S26" i="98"/>
  <c r="R26" i="98" s="1"/>
  <c r="Y34" i="112" l="1"/>
  <c r="Y35" i="112" s="1"/>
  <c r="Y36" i="112" s="1"/>
  <c r="Y37" i="112" s="1"/>
  <c r="Y38" i="112" s="1"/>
  <c r="Y39" i="112" s="1"/>
  <c r="Y40" i="112" s="1"/>
  <c r="Z19" i="112"/>
  <c r="P27" i="98"/>
  <c r="O27" i="98" s="1"/>
  <c r="Q28" i="98"/>
  <c r="S27" i="98"/>
  <c r="R27" i="98" s="1"/>
  <c r="Y41" i="112" l="1"/>
  <c r="Z26" i="112"/>
  <c r="Q29" i="98"/>
  <c r="S28" i="98"/>
  <c r="R28" i="98" s="1"/>
  <c r="P28" i="98"/>
  <c r="O28" i="98" s="1"/>
  <c r="Y42" i="112" l="1"/>
  <c r="Z33" i="112"/>
  <c r="Q30" i="98"/>
  <c r="P29" i="98"/>
  <c r="O29" i="98" s="1"/>
  <c r="S29" i="98"/>
  <c r="R29" i="98" s="1"/>
  <c r="Y43" i="112" l="1"/>
  <c r="Y44" i="112" s="1"/>
  <c r="Y45" i="112" s="1"/>
  <c r="Y46" i="112" s="1"/>
  <c r="Y47" i="112" s="1"/>
  <c r="Y48" i="112" s="1"/>
  <c r="Y7" i="113" s="1"/>
  <c r="P30" i="98"/>
  <c r="O30" i="98" s="1"/>
  <c r="Q31" i="98"/>
  <c r="S30" i="98"/>
  <c r="R30" i="98" s="1"/>
  <c r="Y8" i="113" l="1"/>
  <c r="Y9" i="113" s="1"/>
  <c r="Y10" i="113" s="1"/>
  <c r="Y11" i="113" s="1"/>
  <c r="Y12" i="113" s="1"/>
  <c r="Z40" i="112"/>
  <c r="P31" i="98"/>
  <c r="O31" i="98" s="1"/>
  <c r="Q32" i="98"/>
  <c r="S31" i="98"/>
  <c r="R31" i="98" s="1"/>
  <c r="Y13" i="113" l="1"/>
  <c r="Y14" i="113" s="1"/>
  <c r="Y15" i="113" s="1"/>
  <c r="P32" i="98"/>
  <c r="O32" i="98" s="1"/>
  <c r="Q33" i="98"/>
  <c r="Q34" i="98" s="1"/>
  <c r="S32" i="98"/>
  <c r="R32" i="98" s="1"/>
  <c r="Y16" i="113" l="1"/>
  <c r="Y17" i="113" s="1"/>
  <c r="Y18" i="113" s="1"/>
  <c r="Y19" i="113" s="1"/>
  <c r="Y20" i="113" s="1"/>
  <c r="Z7" i="113"/>
  <c r="P33" i="98"/>
  <c r="O33" i="98" s="1"/>
  <c r="S33" i="98"/>
  <c r="R33" i="98" s="1"/>
  <c r="Z12" i="113" l="1"/>
  <c r="Y21" i="113"/>
  <c r="Y22" i="113" s="1"/>
  <c r="P34" i="98"/>
  <c r="O34" i="98" s="1"/>
  <c r="Q35" i="98"/>
  <c r="S35" i="98" s="1"/>
  <c r="S34" i="98"/>
  <c r="R34" i="98" s="1"/>
  <c r="Y23" i="113" l="1"/>
  <c r="Y24" i="113" s="1"/>
  <c r="Q36" i="98"/>
  <c r="P35" i="98"/>
  <c r="O35" i="98" s="1"/>
  <c r="R35" i="98"/>
  <c r="Y25" i="113" l="1"/>
  <c r="Y26" i="113" s="1"/>
  <c r="Y27" i="113" s="1"/>
  <c r="Y28" i="113" s="1"/>
  <c r="Y29" i="113" s="1"/>
  <c r="Y30" i="113" s="1"/>
  <c r="Y31" i="113" s="1"/>
  <c r="Y32" i="113" s="1"/>
  <c r="Y33" i="113" s="1"/>
  <c r="Y34" i="113" s="1"/>
  <c r="Y35" i="113" s="1"/>
  <c r="Y36" i="113" s="1"/>
  <c r="Y37" i="113" s="1"/>
  <c r="Y38" i="113" s="1"/>
  <c r="Y39" i="113" s="1"/>
  <c r="Y40" i="113" s="1"/>
  <c r="Y41" i="113" s="1"/>
  <c r="Y42" i="113" s="1"/>
  <c r="Y43" i="113" s="1"/>
  <c r="Y44" i="113" s="1"/>
  <c r="Y45" i="113" s="1"/>
  <c r="Y46" i="113" s="1"/>
  <c r="Y47" i="113" s="1"/>
  <c r="Q37" i="98"/>
  <c r="S36" i="98"/>
  <c r="R36" i="98" s="1"/>
  <c r="P36" i="98"/>
  <c r="O36" i="98" s="1"/>
  <c r="X48" i="113" l="1"/>
  <c r="Y48" i="113"/>
  <c r="G62" i="114" s="1"/>
  <c r="Y7" i="114" s="1"/>
  <c r="Z26" i="113"/>
  <c r="Z19" i="113"/>
  <c r="Z33" i="113"/>
  <c r="Q38" i="98"/>
  <c r="P37" i="98"/>
  <c r="O37" i="98" s="1"/>
  <c r="S37" i="98"/>
  <c r="R37" i="98" s="1"/>
  <c r="Y8" i="114" l="1"/>
  <c r="Y9" i="114" s="1"/>
  <c r="Y10" i="114" s="1"/>
  <c r="Y11" i="114" s="1"/>
  <c r="Y12" i="114" s="1"/>
  <c r="Z40" i="113"/>
  <c r="Q39" i="98"/>
  <c r="Q40" i="98" s="1"/>
  <c r="Q41" i="98" s="1"/>
  <c r="P38" i="98"/>
  <c r="O38" i="98" s="1"/>
  <c r="S38" i="98"/>
  <c r="R38" i="98" s="1"/>
  <c r="Y13" i="114" l="1"/>
  <c r="Y14" i="114" s="1"/>
  <c r="Y15" i="114" s="1"/>
  <c r="Y16" i="114" s="1"/>
  <c r="Y17" i="114" s="1"/>
  <c r="Y18" i="114" s="1"/>
  <c r="Y19" i="114" s="1"/>
  <c r="Y20" i="114" s="1"/>
  <c r="Y21" i="114" s="1"/>
  <c r="P39" i="98"/>
  <c r="O39" i="98" s="1"/>
  <c r="S39" i="98"/>
  <c r="R39" i="98" s="1"/>
  <c r="Y22" i="114" l="1"/>
  <c r="Y23" i="114" s="1"/>
  <c r="Y24" i="114" s="1"/>
  <c r="Y25" i="114" s="1"/>
  <c r="Y26" i="114" s="1"/>
  <c r="Z12" i="114"/>
  <c r="Z7" i="114"/>
  <c r="P40" i="98"/>
  <c r="O40" i="98" s="1"/>
  <c r="G66" i="99"/>
  <c r="Q7" i="99" s="1"/>
  <c r="S40" i="98"/>
  <c r="R40" i="98" s="1"/>
  <c r="Y27" i="114" l="1"/>
  <c r="Y28" i="114" s="1"/>
  <c r="Y29" i="114" s="1"/>
  <c r="Y30" i="114" s="1"/>
  <c r="Y31" i="114" s="1"/>
  <c r="Y32" i="114" s="1"/>
  <c r="Y33" i="114" s="1"/>
  <c r="Q8" i="99"/>
  <c r="Q9" i="99" s="1"/>
  <c r="P7" i="99"/>
  <c r="O7" i="99" s="1"/>
  <c r="S7" i="99"/>
  <c r="R7" i="99" s="1"/>
  <c r="P41" i="98"/>
  <c r="O41" i="98" s="1"/>
  <c r="S41" i="98"/>
  <c r="R41" i="98" s="1"/>
  <c r="Y34" i="114" l="1"/>
  <c r="Y35" i="114" s="1"/>
  <c r="Y36" i="114" s="1"/>
  <c r="Y37" i="114" s="1"/>
  <c r="Y38" i="114" s="1"/>
  <c r="Y39" i="114" s="1"/>
  <c r="Y40" i="114" s="1"/>
  <c r="Z19" i="114"/>
  <c r="S8" i="99"/>
  <c r="R8" i="99" s="1"/>
  <c r="P8" i="99"/>
  <c r="O8" i="99" s="1"/>
  <c r="Z26" i="114" l="1"/>
  <c r="Y41" i="114"/>
  <c r="Y42" i="114" s="1"/>
  <c r="P9" i="99"/>
  <c r="O9" i="99" s="1"/>
  <c r="Q10" i="99"/>
  <c r="S9" i="99"/>
  <c r="R9" i="99" s="1"/>
  <c r="S10" i="99"/>
  <c r="R10" i="99" s="1"/>
  <c r="Y43" i="114" l="1"/>
  <c r="Y44" i="114" s="1"/>
  <c r="Y45" i="114" s="1"/>
  <c r="Y46" i="114" s="1"/>
  <c r="Y47" i="114" s="1"/>
  <c r="Y48" i="114" s="1"/>
  <c r="Y49" i="114" s="1"/>
  <c r="Y50" i="114" s="1"/>
  <c r="Y51" i="114" s="1"/>
  <c r="Y52" i="114" s="1"/>
  <c r="Y53" i="114" s="1"/>
  <c r="Y54" i="114" s="1"/>
  <c r="Y55" i="114" s="1"/>
  <c r="G55" i="115" s="1"/>
  <c r="Y7" i="115" s="1"/>
  <c r="Y8" i="115" s="1"/>
  <c r="Z33" i="114"/>
  <c r="Q11" i="99"/>
  <c r="Q12" i="99" s="1"/>
  <c r="P10" i="99"/>
  <c r="O10" i="99" s="1"/>
  <c r="Y9" i="115" l="1"/>
  <c r="Y10" i="115" s="1"/>
  <c r="Y11" i="115" s="1"/>
  <c r="Y12" i="115" s="1"/>
  <c r="Z40" i="114"/>
  <c r="Z47" i="114"/>
  <c r="S11" i="99"/>
  <c r="S12" i="99"/>
  <c r="R12" i="99" s="1"/>
  <c r="P11" i="99"/>
  <c r="O11" i="99" s="1"/>
  <c r="R11" i="99"/>
  <c r="Y13" i="115" l="1"/>
  <c r="Y14" i="115" s="1"/>
  <c r="Y15" i="115" s="1"/>
  <c r="Y16" i="115" s="1"/>
  <c r="Y17" i="115" s="1"/>
  <c r="Y18" i="115" s="1"/>
  <c r="Y19" i="115" s="1"/>
  <c r="Y20" i="115" s="1"/>
  <c r="P12" i="99"/>
  <c r="O12" i="99" s="1"/>
  <c r="Q13" i="99"/>
  <c r="Z12" i="115" l="1"/>
  <c r="Y21" i="115"/>
  <c r="Y22" i="115" s="1"/>
  <c r="Y23" i="115" s="1"/>
  <c r="Y24" i="115" s="1"/>
  <c r="Y25" i="115" s="1"/>
  <c r="Y26" i="115" s="1"/>
  <c r="Z7" i="115"/>
  <c r="Q14" i="99"/>
  <c r="Q15" i="99" s="1"/>
  <c r="Q16" i="99" s="1"/>
  <c r="S13" i="99"/>
  <c r="R13" i="99" s="1"/>
  <c r="S14" i="99"/>
  <c r="P13" i="99"/>
  <c r="O13" i="99" s="1"/>
  <c r="Y27" i="115" l="1"/>
  <c r="Y28" i="115" s="1"/>
  <c r="Y29" i="115" s="1"/>
  <c r="Y30" i="115" s="1"/>
  <c r="Y31" i="115" s="1"/>
  <c r="Y32" i="115" s="1"/>
  <c r="Y33" i="115" s="1"/>
  <c r="R14" i="99"/>
  <c r="P14" i="99"/>
  <c r="O14" i="99" s="1"/>
  <c r="Z19" i="115" l="1"/>
  <c r="Y34" i="115"/>
  <c r="Y35" i="115" s="1"/>
  <c r="Y36" i="115" s="1"/>
  <c r="Y37" i="115" s="1"/>
  <c r="Y38" i="115" s="1"/>
  <c r="Y39" i="115" s="1"/>
  <c r="Y40" i="115" s="1"/>
  <c r="S15" i="99"/>
  <c r="R15" i="99" s="1"/>
  <c r="S16" i="99"/>
  <c r="P15" i="99"/>
  <c r="O15" i="99" s="1"/>
  <c r="Y41" i="115" l="1"/>
  <c r="Y42" i="115" s="1"/>
  <c r="Y43" i="115" s="1"/>
  <c r="Y44" i="115" s="1"/>
  <c r="Y45" i="115" s="1"/>
  <c r="Y46" i="115" s="1"/>
  <c r="Y47" i="115" s="1"/>
  <c r="Z26" i="115"/>
  <c r="R16" i="99"/>
  <c r="Q17" i="99"/>
  <c r="P16" i="99"/>
  <c r="O16" i="99" s="1"/>
  <c r="Z33" i="115" l="1"/>
  <c r="Y48" i="115"/>
  <c r="P17" i="99"/>
  <c r="O17" i="99" s="1"/>
  <c r="Q18" i="99"/>
  <c r="S17" i="99"/>
  <c r="R17" i="99" s="1"/>
  <c r="Z40" i="115" l="1"/>
  <c r="G62" i="116"/>
  <c r="Y7" i="116" s="1"/>
  <c r="Z47" i="115"/>
  <c r="Q19" i="99"/>
  <c r="Q20" i="99" s="1"/>
  <c r="Q21" i="99" s="1"/>
  <c r="P18" i="99"/>
  <c r="O18" i="99" s="1"/>
  <c r="S18" i="99"/>
  <c r="R18" i="99" s="1"/>
  <c r="Y8" i="116" l="1"/>
  <c r="P19" i="99"/>
  <c r="O19" i="99" s="1"/>
  <c r="S19" i="99"/>
  <c r="R19" i="99" s="1"/>
  <c r="Y9" i="116" l="1"/>
  <c r="P20" i="99"/>
  <c r="O20" i="99" s="1"/>
  <c r="S20" i="99"/>
  <c r="R20" i="99" s="1"/>
  <c r="Y10" i="116" l="1"/>
  <c r="Y11" i="116" s="1"/>
  <c r="Y12" i="116" s="1"/>
  <c r="P21" i="99"/>
  <c r="O21" i="99" s="1"/>
  <c r="Q22" i="99"/>
  <c r="Q23" i="99" s="1"/>
  <c r="S21" i="99"/>
  <c r="R21" i="99" s="1"/>
  <c r="Y13" i="116" l="1"/>
  <c r="Y14" i="116" s="1"/>
  <c r="Z7" i="116"/>
  <c r="P22" i="99"/>
  <c r="O22" i="99" s="1"/>
  <c r="S22" i="99"/>
  <c r="R22" i="99" s="1"/>
  <c r="Y15" i="116" l="1"/>
  <c r="P23" i="99"/>
  <c r="O23" i="99" s="1"/>
  <c r="Q24" i="99"/>
  <c r="S23" i="99"/>
  <c r="R23" i="99" s="1"/>
  <c r="Y16" i="116" l="1"/>
  <c r="Y17" i="116" s="1"/>
  <c r="Y18" i="116" s="1"/>
  <c r="Y19" i="116" s="1"/>
  <c r="Y20" i="116" s="1"/>
  <c r="Q25" i="99"/>
  <c r="Q26" i="99" s="1"/>
  <c r="Q27" i="99" s="1"/>
  <c r="P24" i="99"/>
  <c r="O24" i="99" s="1"/>
  <c r="S24" i="99"/>
  <c r="R24" i="99" s="1"/>
  <c r="Y21" i="116" l="1"/>
  <c r="Y22" i="116" s="1"/>
  <c r="Y23" i="116" s="1"/>
  <c r="Y24" i="116" s="1"/>
  <c r="Y25" i="116" s="1"/>
  <c r="Y26" i="116" s="1"/>
  <c r="Z12" i="116"/>
  <c r="P25" i="99"/>
  <c r="O25" i="99" s="1"/>
  <c r="S25" i="99"/>
  <c r="R25" i="99" s="1"/>
  <c r="Y27" i="116" l="1"/>
  <c r="P26" i="99"/>
  <c r="O26" i="99" s="1"/>
  <c r="S26" i="99"/>
  <c r="R26" i="99" s="1"/>
  <c r="Y28" i="116" l="1"/>
  <c r="Z19" i="116"/>
  <c r="Q28" i="99"/>
  <c r="P27" i="99"/>
  <c r="O27" i="99" s="1"/>
  <c r="S27" i="99"/>
  <c r="R27" i="99" s="1"/>
  <c r="Y29" i="116" l="1"/>
  <c r="Y30" i="116" s="1"/>
  <c r="Y31" i="116" s="1"/>
  <c r="Y32" i="116" s="1"/>
  <c r="Y33" i="116" s="1"/>
  <c r="Q29" i="99"/>
  <c r="S29" i="99" s="1"/>
  <c r="P28" i="99"/>
  <c r="O28" i="99" s="1"/>
  <c r="S28" i="99"/>
  <c r="R28" i="99" s="1"/>
  <c r="Y34" i="116" l="1"/>
  <c r="P29" i="99"/>
  <c r="O29" i="99" s="1"/>
  <c r="Q30" i="99"/>
  <c r="R29" i="99"/>
  <c r="Y35" i="116" l="1"/>
  <c r="Y36" i="116" s="1"/>
  <c r="Z26" i="116"/>
  <c r="Q31" i="99"/>
  <c r="P30" i="99"/>
  <c r="O30" i="99" s="1"/>
  <c r="S30" i="99"/>
  <c r="R30" i="99" s="1"/>
  <c r="Y37" i="116" l="1"/>
  <c r="Y38" i="116" s="1"/>
  <c r="Y39" i="116" s="1"/>
  <c r="Y40" i="116" s="1"/>
  <c r="Q32" i="99"/>
  <c r="Q33" i="99" s="1"/>
  <c r="Q34" i="99" s="1"/>
  <c r="Q35" i="99" s="1"/>
  <c r="Q36" i="99" s="1"/>
  <c r="P31" i="99"/>
  <c r="O31" i="99" s="1"/>
  <c r="S31" i="99"/>
  <c r="R31" i="99" s="1"/>
  <c r="Y41" i="116" l="1"/>
  <c r="Y42" i="116" s="1"/>
  <c r="Y43" i="116" s="1"/>
  <c r="Y44" i="116" s="1"/>
  <c r="Y45" i="116" s="1"/>
  <c r="Y46" i="116" s="1"/>
  <c r="Y47" i="116" s="1"/>
  <c r="Y48" i="116" s="1"/>
  <c r="Y49" i="116" s="1"/>
  <c r="Y50" i="116" s="1"/>
  <c r="Y51" i="116" s="1"/>
  <c r="Y52" i="116" s="1"/>
  <c r="Y53" i="116" s="1"/>
  <c r="Y54" i="116" s="1"/>
  <c r="Y55" i="116" s="1"/>
  <c r="P32" i="99"/>
  <c r="O32" i="99" s="1"/>
  <c r="S32" i="99"/>
  <c r="R32" i="99" s="1"/>
  <c r="Z47" i="116" l="1"/>
  <c r="G55" i="117"/>
  <c r="Y7" i="117" s="1"/>
  <c r="Y8" i="117" s="1"/>
  <c r="Y9" i="117" s="1"/>
  <c r="Z40" i="116"/>
  <c r="Z33" i="116"/>
  <c r="P33" i="99"/>
  <c r="O33" i="99" s="1"/>
  <c r="S33" i="99"/>
  <c r="R33" i="99" s="1"/>
  <c r="Y10" i="117" l="1"/>
  <c r="Y11" i="117" s="1"/>
  <c r="Y12" i="117" s="1"/>
  <c r="P34" i="99"/>
  <c r="O34" i="99" s="1"/>
  <c r="S34" i="99"/>
  <c r="R34" i="99" s="1"/>
  <c r="Y13" i="117" l="1"/>
  <c r="Y14" i="117" s="1"/>
  <c r="Y15" i="117" s="1"/>
  <c r="Y16" i="117" s="1"/>
  <c r="Y17" i="117" s="1"/>
  <c r="Y18" i="117" s="1"/>
  <c r="Y19" i="117" s="1"/>
  <c r="Y20" i="117" s="1"/>
  <c r="P35" i="99"/>
  <c r="O35" i="99" s="1"/>
  <c r="S35" i="99"/>
  <c r="R35" i="99" s="1"/>
  <c r="Y21" i="117" l="1"/>
  <c r="Y22" i="117" s="1"/>
  <c r="Y23" i="117" s="1"/>
  <c r="Y24" i="117" s="1"/>
  <c r="Y25" i="117" s="1"/>
  <c r="Y26" i="117" s="1"/>
  <c r="Z12" i="117"/>
  <c r="Z7" i="117"/>
  <c r="P36" i="99"/>
  <c r="O36" i="99" s="1"/>
  <c r="Q37" i="99"/>
  <c r="S36" i="99"/>
  <c r="R36" i="99" s="1"/>
  <c r="Y27" i="117" l="1"/>
  <c r="Y28" i="117" s="1"/>
  <c r="Y29" i="117" s="1"/>
  <c r="Y30" i="117" s="1"/>
  <c r="Y31" i="117" s="1"/>
  <c r="Y32" i="117" s="1"/>
  <c r="Y33" i="117" s="1"/>
  <c r="Q38" i="99"/>
  <c r="P37" i="99"/>
  <c r="O37" i="99" s="1"/>
  <c r="S37" i="99"/>
  <c r="R37" i="99" s="1"/>
  <c r="Y34" i="117" l="1"/>
  <c r="Y35" i="117" s="1"/>
  <c r="Y36" i="117" s="1"/>
  <c r="Y37" i="117" s="1"/>
  <c r="Y38" i="117" s="1"/>
  <c r="Y39" i="117" s="1"/>
  <c r="Y40" i="117" s="1"/>
  <c r="Y41" i="117" s="1"/>
  <c r="Z19" i="117"/>
  <c r="Q39" i="99"/>
  <c r="Q40" i="99" s="1"/>
  <c r="Q41" i="99" s="1"/>
  <c r="P38" i="99"/>
  <c r="O38" i="99" s="1"/>
  <c r="S38" i="99"/>
  <c r="R38" i="99" s="1"/>
  <c r="Z26" i="117" l="1"/>
  <c r="Y42" i="117"/>
  <c r="P39" i="99"/>
  <c r="O39" i="99" s="1"/>
  <c r="S39" i="99"/>
  <c r="R39" i="99" s="1"/>
  <c r="Y43" i="117" l="1"/>
  <c r="Y44" i="117" s="1"/>
  <c r="Z33" i="117"/>
  <c r="P40" i="99"/>
  <c r="O40" i="99" s="1"/>
  <c r="S40" i="99"/>
  <c r="R40" i="99" s="1"/>
  <c r="Y45" i="117" l="1"/>
  <c r="Y46" i="117" s="1"/>
  <c r="Y47" i="117" s="1"/>
  <c r="Y48" i="117" s="1"/>
  <c r="G62" i="118" s="1"/>
  <c r="Y7" i="118" s="1"/>
  <c r="Y8" i="118" s="1"/>
  <c r="Q42" i="99"/>
  <c r="Q43" i="99" s="1"/>
  <c r="Q44" i="99" s="1"/>
  <c r="Q45" i="99" s="1"/>
  <c r="Q46" i="99" s="1"/>
  <c r="Q47" i="99" s="1"/>
  <c r="Q48" i="99" s="1"/>
  <c r="Q49" i="99" s="1"/>
  <c r="Q50" i="99" s="1"/>
  <c r="Q51" i="99" s="1"/>
  <c r="Q52" i="99" s="1"/>
  <c r="Q53" i="99" s="1"/>
  <c r="Q54" i="99" s="1"/>
  <c r="Q55" i="99" s="1"/>
  <c r="Q56" i="99" s="1"/>
  <c r="Q57" i="99" s="1"/>
  <c r="Q58" i="99" s="1"/>
  <c r="Q59" i="99" s="1"/>
  <c r="Q60" i="99" s="1"/>
  <c r="Q61" i="99" s="1"/>
  <c r="P41" i="99"/>
  <c r="O41" i="99" s="1"/>
  <c r="S41" i="99"/>
  <c r="R41" i="99" s="1"/>
  <c r="Z40" i="117" l="1"/>
  <c r="Y9" i="118"/>
  <c r="Y10" i="118" s="1"/>
  <c r="Y11" i="118" s="1"/>
  <c r="Y12" i="118" s="1"/>
  <c r="Y13" i="118" s="1"/>
  <c r="Y14" i="118" s="1"/>
  <c r="Y15" i="118" s="1"/>
  <c r="Y16" i="118" s="1"/>
  <c r="Q62" i="99"/>
  <c r="G59" i="100" s="1"/>
  <c r="Q7" i="100" s="1"/>
  <c r="P42" i="99"/>
  <c r="O42" i="99" s="1"/>
  <c r="S42" i="99"/>
  <c r="R42" i="99" s="1"/>
  <c r="Z7" i="118" l="1"/>
  <c r="Y17" i="118"/>
  <c r="Y18" i="118" s="1"/>
  <c r="Y19" i="118" s="1"/>
  <c r="Y20" i="118" s="1"/>
  <c r="Y21" i="118" s="1"/>
  <c r="Y22" i="118" s="1"/>
  <c r="Q8" i="100"/>
  <c r="P7" i="100"/>
  <c r="O7" i="100" s="1"/>
  <c r="S7" i="100"/>
  <c r="R7" i="100" s="1"/>
  <c r="S8" i="100"/>
  <c r="R8" i="100" s="1"/>
  <c r="P43" i="99"/>
  <c r="O43" i="99" s="1"/>
  <c r="S43" i="99"/>
  <c r="R43" i="99" s="1"/>
  <c r="Z12" i="118" l="1"/>
  <c r="Q9" i="100"/>
  <c r="P8" i="100"/>
  <c r="O8" i="100" s="1"/>
  <c r="P44" i="99"/>
  <c r="O44" i="99" s="1"/>
  <c r="S44" i="99"/>
  <c r="R44" i="99" s="1"/>
  <c r="Y23" i="118" l="1"/>
  <c r="Y24" i="118" s="1"/>
  <c r="Y25" i="118" s="1"/>
  <c r="Y26" i="118" s="1"/>
  <c r="Y27" i="118" s="1"/>
  <c r="P9" i="100"/>
  <c r="O9" i="100" s="1"/>
  <c r="Q10" i="100"/>
  <c r="S9" i="100"/>
  <c r="R9" i="100" s="1"/>
  <c r="P45" i="99"/>
  <c r="O45" i="99" s="1"/>
  <c r="S45" i="99"/>
  <c r="R45" i="99" s="1"/>
  <c r="Y28" i="118" l="1"/>
  <c r="Y29" i="118" s="1"/>
  <c r="Y30" i="118" s="1"/>
  <c r="Y31" i="118" s="1"/>
  <c r="Y32" i="118" s="1"/>
  <c r="Y33" i="118" s="1"/>
  <c r="Y34" i="118" s="1"/>
  <c r="Y35" i="118" s="1"/>
  <c r="Y36" i="118" s="1"/>
  <c r="Y37" i="118" s="1"/>
  <c r="Y38" i="118" s="1"/>
  <c r="Y39" i="118" s="1"/>
  <c r="Y40" i="118" s="1"/>
  <c r="Y41" i="118" s="1"/>
  <c r="Z19" i="118"/>
  <c r="S10" i="100"/>
  <c r="R10" i="100" s="1"/>
  <c r="Q11" i="100"/>
  <c r="P10" i="100"/>
  <c r="O10" i="100" s="1"/>
  <c r="P46" i="99"/>
  <c r="O46" i="99" s="1"/>
  <c r="S46" i="99"/>
  <c r="R46" i="99" s="1"/>
  <c r="Y42" i="118" l="1"/>
  <c r="Z26" i="118"/>
  <c r="Q12" i="100"/>
  <c r="S12" i="100" s="1"/>
  <c r="R12" i="100" s="1"/>
  <c r="P11" i="100"/>
  <c r="O11" i="100" s="1"/>
  <c r="S11" i="100"/>
  <c r="R11" i="100" s="1"/>
  <c r="P47" i="99"/>
  <c r="O47" i="99" s="1"/>
  <c r="S47" i="99"/>
  <c r="R47" i="99" s="1"/>
  <c r="Y43" i="118" l="1"/>
  <c r="Y44" i="118" s="1"/>
  <c r="Y45" i="118" s="1"/>
  <c r="Y46" i="118" s="1"/>
  <c r="Y47" i="118" s="1"/>
  <c r="Y48" i="118" s="1"/>
  <c r="Y49" i="118" s="1"/>
  <c r="Y50" i="118" s="1"/>
  <c r="Y51" i="118" s="1"/>
  <c r="Z33" i="118"/>
  <c r="Q13" i="100"/>
  <c r="S13" i="100" s="1"/>
  <c r="R13" i="100" s="1"/>
  <c r="P12" i="100"/>
  <c r="O12" i="100" s="1"/>
  <c r="P48" i="99"/>
  <c r="O48" i="99" s="1"/>
  <c r="S48" i="99"/>
  <c r="R48" i="99" s="1"/>
  <c r="Y52" i="118" l="1"/>
  <c r="Y53" i="118" s="1"/>
  <c r="Y54" i="118" s="1"/>
  <c r="Y55" i="118" s="1"/>
  <c r="Z40" i="118"/>
  <c r="Q14" i="100"/>
  <c r="S14" i="100" s="1"/>
  <c r="R14" i="100" s="1"/>
  <c r="P13" i="100"/>
  <c r="O13" i="100" s="1"/>
  <c r="P49" i="99"/>
  <c r="O49" i="99" s="1"/>
  <c r="S49" i="99"/>
  <c r="R49" i="99" s="1"/>
  <c r="G62" i="119" l="1"/>
  <c r="Y7" i="119" s="1"/>
  <c r="Y8" i="119" s="1"/>
  <c r="Y9" i="119" s="1"/>
  <c r="Y10" i="119" s="1"/>
  <c r="Y11" i="119" s="1"/>
  <c r="Y12" i="119" s="1"/>
  <c r="Y13" i="119" s="1"/>
  <c r="Y14" i="119" s="1"/>
  <c r="Y15" i="119" s="1"/>
  <c r="Y16" i="119" s="1"/>
  <c r="Y17" i="119" s="1"/>
  <c r="Y18" i="119" s="1"/>
  <c r="Y19" i="119" s="1"/>
  <c r="Y20" i="119" s="1"/>
  <c r="Z47" i="118"/>
  <c r="Q15" i="100"/>
  <c r="P14" i="100"/>
  <c r="O14" i="100" s="1"/>
  <c r="P50" i="99"/>
  <c r="O50" i="99" s="1"/>
  <c r="S50" i="99"/>
  <c r="R50" i="99" s="1"/>
  <c r="Y21" i="119" l="1"/>
  <c r="Y22" i="119" s="1"/>
  <c r="Y23" i="119" s="1"/>
  <c r="Y24" i="119" s="1"/>
  <c r="Y25" i="119" s="1"/>
  <c r="Y26" i="119" s="1"/>
  <c r="Z12" i="119"/>
  <c r="Z7" i="119"/>
  <c r="Q16" i="100"/>
  <c r="P15" i="100"/>
  <c r="O15" i="100" s="1"/>
  <c r="S15" i="100"/>
  <c r="R15" i="100" s="1"/>
  <c r="P51" i="99"/>
  <c r="O51" i="99" s="1"/>
  <c r="S51" i="99"/>
  <c r="R51" i="99" s="1"/>
  <c r="Y27" i="119" l="1"/>
  <c r="S16" i="100"/>
  <c r="R16" i="100" s="1"/>
  <c r="Q17" i="100"/>
  <c r="P16" i="100"/>
  <c r="O16" i="100" s="1"/>
  <c r="P52" i="99"/>
  <c r="O52" i="99" s="1"/>
  <c r="S52" i="99"/>
  <c r="R52" i="99" s="1"/>
  <c r="Y28" i="119" l="1"/>
  <c r="Y29" i="119" s="1"/>
  <c r="Y30" i="119" s="1"/>
  <c r="Y31" i="119" s="1"/>
  <c r="Y32" i="119" s="1"/>
  <c r="Y33" i="119" s="1"/>
  <c r="Y34" i="119" s="1"/>
  <c r="Y35" i="119" s="1"/>
  <c r="Y36" i="119" s="1"/>
  <c r="Y37" i="119" s="1"/>
  <c r="Y38" i="119" s="1"/>
  <c r="Y39" i="119" s="1"/>
  <c r="Y40" i="119" s="1"/>
  <c r="Z19" i="119"/>
  <c r="P17" i="100"/>
  <c r="O17" i="100" s="1"/>
  <c r="Q18" i="100"/>
  <c r="S17" i="100"/>
  <c r="R17" i="100" s="1"/>
  <c r="P53" i="99"/>
  <c r="O53" i="99" s="1"/>
  <c r="S53" i="99"/>
  <c r="R53" i="99" s="1"/>
  <c r="Z26" i="119" l="1"/>
  <c r="Y41" i="119"/>
  <c r="Q19" i="100"/>
  <c r="P18" i="100"/>
  <c r="O18" i="100" s="1"/>
  <c r="S18" i="100"/>
  <c r="R18" i="100" s="1"/>
  <c r="P54" i="99"/>
  <c r="O54" i="99" s="1"/>
  <c r="S54" i="99"/>
  <c r="R54" i="99" s="1"/>
  <c r="Y42" i="119" l="1"/>
  <c r="Y43" i="119" s="1"/>
  <c r="Y44" i="119" s="1"/>
  <c r="Y45" i="119" s="1"/>
  <c r="Y46" i="119" s="1"/>
  <c r="Y47" i="119" s="1"/>
  <c r="Y48" i="119" s="1"/>
  <c r="Y49" i="119" s="1"/>
  <c r="Y50" i="119" s="1"/>
  <c r="Y51" i="119" s="1"/>
  <c r="Z33" i="119"/>
  <c r="Q20" i="100"/>
  <c r="P19" i="100"/>
  <c r="O19" i="100" s="1"/>
  <c r="S19" i="100"/>
  <c r="R19" i="100" s="1"/>
  <c r="P55" i="99"/>
  <c r="O55" i="99" s="1"/>
  <c r="S55" i="99"/>
  <c r="R55" i="99" s="1"/>
  <c r="Y52" i="119" l="1"/>
  <c r="Y53" i="119" s="1"/>
  <c r="Y54" i="119" s="1"/>
  <c r="Y55" i="119" s="1"/>
  <c r="G62" i="120" s="1"/>
  <c r="Y7" i="120" s="1"/>
  <c r="Z40" i="119"/>
  <c r="Q21" i="100"/>
  <c r="P20" i="100"/>
  <c r="O20" i="100" s="1"/>
  <c r="S20" i="100"/>
  <c r="R20" i="100" s="1"/>
  <c r="P56" i="99"/>
  <c r="O56" i="99" s="1"/>
  <c r="S56" i="99"/>
  <c r="R56" i="99" s="1"/>
  <c r="Y8" i="120" l="1"/>
  <c r="Y9" i="120" s="1"/>
  <c r="Y10" i="120" s="1"/>
  <c r="Y11" i="120" s="1"/>
  <c r="Y12" i="120" s="1"/>
  <c r="Z47" i="119"/>
  <c r="Q22" i="100"/>
  <c r="P21" i="100"/>
  <c r="O21" i="100" s="1"/>
  <c r="S21" i="100"/>
  <c r="R21" i="100" s="1"/>
  <c r="P57" i="99"/>
  <c r="O57" i="99" s="1"/>
  <c r="S57" i="99"/>
  <c r="R57" i="99" s="1"/>
  <c r="Y13" i="120" l="1"/>
  <c r="Y14" i="120" s="1"/>
  <c r="Y15" i="120" s="1"/>
  <c r="Y16" i="120" s="1"/>
  <c r="Y17" i="120" s="1"/>
  <c r="Y18" i="120" s="1"/>
  <c r="Y19" i="120" s="1"/>
  <c r="Y20" i="120" s="1"/>
  <c r="P22" i="100"/>
  <c r="O22" i="100" s="1"/>
  <c r="Q23" i="100"/>
  <c r="S22" i="100"/>
  <c r="R22" i="100" s="1"/>
  <c r="P58" i="99"/>
  <c r="O58" i="99" s="1"/>
  <c r="S58" i="99"/>
  <c r="R58" i="99" s="1"/>
  <c r="Y21" i="120" l="1"/>
  <c r="Y22" i="120" s="1"/>
  <c r="Y23" i="120" s="1"/>
  <c r="Y24" i="120" s="1"/>
  <c r="Y25" i="120" s="1"/>
  <c r="Y26" i="120" s="1"/>
  <c r="Z12" i="120"/>
  <c r="Z7" i="120"/>
  <c r="P23" i="100"/>
  <c r="O23" i="100" s="1"/>
  <c r="Q24" i="100"/>
  <c r="S23" i="100"/>
  <c r="R23" i="100" s="1"/>
  <c r="P59" i="99"/>
  <c r="O59" i="99" s="1"/>
  <c r="S59" i="99"/>
  <c r="R59" i="99" s="1"/>
  <c r="Y27" i="120" l="1"/>
  <c r="Y28" i="120" s="1"/>
  <c r="Y29" i="120" s="1"/>
  <c r="Y30" i="120" s="1"/>
  <c r="Y31" i="120" s="1"/>
  <c r="Y32" i="120" s="1"/>
  <c r="Y33" i="120" s="1"/>
  <c r="P24" i="100"/>
  <c r="O24" i="100" s="1"/>
  <c r="Q25" i="100"/>
  <c r="Q26" i="100" s="1"/>
  <c r="Q27" i="100" s="1"/>
  <c r="Q28" i="100" s="1"/>
  <c r="Q29" i="100" s="1"/>
  <c r="S24" i="100"/>
  <c r="R24" i="100" s="1"/>
  <c r="P60" i="99"/>
  <c r="O60" i="99" s="1"/>
  <c r="S60" i="99"/>
  <c r="R60" i="99" s="1"/>
  <c r="Y34" i="120" l="1"/>
  <c r="Y35" i="120" s="1"/>
  <c r="Y36" i="120" s="1"/>
  <c r="Y37" i="120" s="1"/>
  <c r="Y38" i="120" s="1"/>
  <c r="Y39" i="120" s="1"/>
  <c r="Y40" i="120" s="1"/>
  <c r="Z19" i="120"/>
  <c r="P25" i="100"/>
  <c r="O25" i="100" s="1"/>
  <c r="S25" i="100"/>
  <c r="R25" i="100" s="1"/>
  <c r="P61" i="99"/>
  <c r="O61" i="99" s="1"/>
  <c r="S61" i="99"/>
  <c r="R61" i="99" s="1"/>
  <c r="Z26" i="120" l="1"/>
  <c r="Y41" i="120"/>
  <c r="Y42" i="120" s="1"/>
  <c r="Y43" i="120" s="1"/>
  <c r="Y44" i="120" s="1"/>
  <c r="Y45" i="120" s="1"/>
  <c r="Y46" i="120" s="1"/>
  <c r="Y47" i="120" s="1"/>
  <c r="P26" i="100"/>
  <c r="O26" i="100" s="1"/>
  <c r="S26" i="100"/>
  <c r="R26" i="100" s="1"/>
  <c r="P62" i="99"/>
  <c r="O62" i="99" s="1"/>
  <c r="S62" i="99"/>
  <c r="R62" i="99" s="1"/>
  <c r="Y48" i="120" l="1"/>
  <c r="Y49" i="120" s="1"/>
  <c r="Y50" i="120" s="1"/>
  <c r="Y51" i="120" s="1"/>
  <c r="Y52" i="120" s="1"/>
  <c r="Y53" i="120" s="1"/>
  <c r="Z33" i="120"/>
  <c r="P27" i="100"/>
  <c r="O27" i="100" s="1"/>
  <c r="S27" i="100"/>
  <c r="R27" i="100" s="1"/>
  <c r="Y54" i="120" l="1"/>
  <c r="Y55" i="120" s="1"/>
  <c r="G62" i="121" s="1"/>
  <c r="Y7" i="121" s="1"/>
  <c r="Y8" i="121" s="1"/>
  <c r="Y9" i="121" s="1"/>
  <c r="Y10" i="121" s="1"/>
  <c r="Y11" i="121" s="1"/>
  <c r="Y12" i="121" s="1"/>
  <c r="Z40" i="120"/>
  <c r="P28" i="100"/>
  <c r="O28" i="100" s="1"/>
  <c r="S28" i="100"/>
  <c r="R28" i="100" s="1"/>
  <c r="Z47" i="120" l="1"/>
  <c r="Y13" i="121"/>
  <c r="P29" i="100"/>
  <c r="O29" i="100" s="1"/>
  <c r="Q30" i="100"/>
  <c r="S29" i="100"/>
  <c r="R29" i="100" s="1"/>
  <c r="Y14" i="121" l="1"/>
  <c r="Y15" i="121" s="1"/>
  <c r="Y16" i="121" s="1"/>
  <c r="Y17" i="121" s="1"/>
  <c r="Y18" i="121" s="1"/>
  <c r="Y19" i="121" s="1"/>
  <c r="Y20" i="121" s="1"/>
  <c r="Z7" i="121"/>
  <c r="P30" i="100"/>
  <c r="O30" i="100" s="1"/>
  <c r="Q31" i="100"/>
  <c r="S30" i="100"/>
  <c r="R30" i="100" s="1"/>
  <c r="Y21" i="121" l="1"/>
  <c r="Y22" i="121" s="1"/>
  <c r="Y23" i="121" s="1"/>
  <c r="Y24" i="121" s="1"/>
  <c r="Y25" i="121" s="1"/>
  <c r="Y26" i="121" s="1"/>
  <c r="Z12" i="121"/>
  <c r="Q32" i="100"/>
  <c r="P31" i="100"/>
  <c r="O31" i="100" s="1"/>
  <c r="S31" i="100"/>
  <c r="R31" i="100" s="1"/>
  <c r="Y27" i="121" l="1"/>
  <c r="Y28" i="121" s="1"/>
  <c r="Y29" i="121" s="1"/>
  <c r="Y30" i="121" s="1"/>
  <c r="Y31" i="121" s="1"/>
  <c r="Y32" i="121" s="1"/>
  <c r="Y33" i="121" s="1"/>
  <c r="Q33" i="100"/>
  <c r="Q34" i="100" s="1"/>
  <c r="Q35" i="100" s="1"/>
  <c r="P32" i="100"/>
  <c r="O32" i="100" s="1"/>
  <c r="S32" i="100"/>
  <c r="R32" i="100" s="1"/>
  <c r="Y34" i="121" l="1"/>
  <c r="Y35" i="121" s="1"/>
  <c r="Y36" i="121" s="1"/>
  <c r="Y37" i="121" s="1"/>
  <c r="Y38" i="121" s="1"/>
  <c r="Y39" i="121" s="1"/>
  <c r="Y40" i="121" s="1"/>
  <c r="Z19" i="121"/>
  <c r="P33" i="100"/>
  <c r="O33" i="100" s="1"/>
  <c r="S33" i="100"/>
  <c r="R33" i="100" s="1"/>
  <c r="Z26" i="121" l="1"/>
  <c r="Y41" i="121"/>
  <c r="Y42" i="121" s="1"/>
  <c r="Y43" i="121" s="1"/>
  <c r="Y44" i="121" s="1"/>
  <c r="Y45" i="121" s="1"/>
  <c r="Y46" i="121" s="1"/>
  <c r="Y47" i="121" s="1"/>
  <c r="Y48" i="121" s="1"/>
  <c r="Y49" i="121" s="1"/>
  <c r="Y50" i="121" s="1"/>
  <c r="P34" i="100"/>
  <c r="O34" i="100" s="1"/>
  <c r="S34" i="100"/>
  <c r="R34" i="100" s="1"/>
  <c r="Y51" i="121" l="1"/>
  <c r="Y52" i="121" s="1"/>
  <c r="Y53" i="121" s="1"/>
  <c r="Y54" i="121" s="1"/>
  <c r="Y55" i="121" s="1"/>
  <c r="G48" i="122" s="1"/>
  <c r="Y7" i="122" s="1"/>
  <c r="Z33" i="121"/>
  <c r="Q36" i="100"/>
  <c r="Q37" i="100" s="1"/>
  <c r="S37" i="100" s="1"/>
  <c r="P35" i="100"/>
  <c r="O35" i="100" s="1"/>
  <c r="S35" i="100"/>
  <c r="R35" i="100" s="1"/>
  <c r="Y8" i="122" l="1"/>
  <c r="Y9" i="122" s="1"/>
  <c r="Y10" i="122" s="1"/>
  <c r="Y11" i="122" s="1"/>
  <c r="Y12" i="122" s="1"/>
  <c r="Z40" i="121"/>
  <c r="Z47" i="121"/>
  <c r="P36" i="100"/>
  <c r="O36" i="100" s="1"/>
  <c r="S36" i="100"/>
  <c r="R36" i="100" s="1"/>
  <c r="Y13" i="122" l="1"/>
  <c r="P37" i="100"/>
  <c r="O37" i="100" s="1"/>
  <c r="Q38" i="100"/>
  <c r="R37" i="100"/>
  <c r="Y14" i="122" l="1"/>
  <c r="Y15" i="122" s="1"/>
  <c r="Z7" i="122"/>
  <c r="P38" i="100"/>
  <c r="O38" i="100" s="1"/>
  <c r="Q39" i="100"/>
  <c r="S38" i="100"/>
  <c r="R38" i="100" s="1"/>
  <c r="Y16" i="122" l="1"/>
  <c r="Y17" i="122" s="1"/>
  <c r="Y18" i="122" s="1"/>
  <c r="Y19" i="122" s="1"/>
  <c r="Y20" i="122" s="1"/>
  <c r="Y21" i="122" s="1"/>
  <c r="P39" i="100"/>
  <c r="O39" i="100" s="1"/>
  <c r="Q40" i="100"/>
  <c r="S39" i="100"/>
  <c r="R39" i="100" s="1"/>
  <c r="Z12" i="122" l="1"/>
  <c r="Y22" i="122"/>
  <c r="Y23" i="122" s="1"/>
  <c r="Y24" i="122" s="1"/>
  <c r="Y25" i="122" s="1"/>
  <c r="Y26" i="122" s="1"/>
  <c r="Q41" i="100"/>
  <c r="Q42" i="100" s="1"/>
  <c r="P40" i="100"/>
  <c r="O40" i="100" s="1"/>
  <c r="S40" i="100"/>
  <c r="R40" i="100" s="1"/>
  <c r="Y27" i="122" l="1"/>
  <c r="Y28" i="122" s="1"/>
  <c r="Y29" i="122" s="1"/>
  <c r="Y30" i="122" s="1"/>
  <c r="Y31" i="122" s="1"/>
  <c r="Y32" i="122" s="1"/>
  <c r="Y33" i="122" s="1"/>
  <c r="Y34" i="122" s="1"/>
  <c r="Y35" i="122" s="1"/>
  <c r="Y36" i="122" s="1"/>
  <c r="Y37" i="122" s="1"/>
  <c r="Y38" i="122" s="1"/>
  <c r="Y39" i="122" s="1"/>
  <c r="Y40" i="122" s="1"/>
  <c r="Y41" i="122" s="1"/>
  <c r="P41" i="100"/>
  <c r="O41" i="100" s="1"/>
  <c r="S41" i="100"/>
  <c r="R41" i="100" s="1"/>
  <c r="Z33" i="122" l="1"/>
  <c r="G48" i="123"/>
  <c r="Y7" i="123" s="1"/>
  <c r="Z26" i="122"/>
  <c r="Z19" i="122"/>
  <c r="Q43" i="100"/>
  <c r="Q44" i="100" s="1"/>
  <c r="P42" i="100"/>
  <c r="O42" i="100" s="1"/>
  <c r="S42" i="100"/>
  <c r="R42" i="100" s="1"/>
  <c r="Y8" i="123" l="1"/>
  <c r="Y9" i="123" s="1"/>
  <c r="Y10" i="123" s="1"/>
  <c r="Y11" i="123" s="1"/>
  <c r="Y12" i="123" s="1"/>
  <c r="P43" i="100"/>
  <c r="O43" i="100" s="1"/>
  <c r="S43" i="100"/>
  <c r="R43" i="100" s="1"/>
  <c r="Y13" i="123" l="1"/>
  <c r="Y14" i="123" s="1"/>
  <c r="Y15" i="123" s="1"/>
  <c r="Y16" i="123" s="1"/>
  <c r="Y17" i="123" s="1"/>
  <c r="Y18" i="123" s="1"/>
  <c r="Y19" i="123" s="1"/>
  <c r="Y20" i="123" s="1"/>
  <c r="P44" i="100"/>
  <c r="O44" i="100" s="1"/>
  <c r="Q45" i="100"/>
  <c r="S44" i="100"/>
  <c r="R44" i="100" s="1"/>
  <c r="Z7" i="123" l="1"/>
  <c r="Z12" i="123"/>
  <c r="Y21" i="123"/>
  <c r="Y22" i="123" s="1"/>
  <c r="Y23" i="123" s="1"/>
  <c r="Y24" i="123" s="1"/>
  <c r="Y25" i="123" s="1"/>
  <c r="Y26" i="123" s="1"/>
  <c r="P45" i="100"/>
  <c r="O45" i="100" s="1"/>
  <c r="Q46" i="100"/>
  <c r="Q47" i="100" s="1"/>
  <c r="Q48" i="100" s="1"/>
  <c r="Q49" i="100" s="1"/>
  <c r="Q50" i="100" s="1"/>
  <c r="S50" i="100" s="1"/>
  <c r="S45" i="100"/>
  <c r="R45" i="100" s="1"/>
  <c r="Y27" i="123" l="1"/>
  <c r="P46" i="100"/>
  <c r="O46" i="100" s="1"/>
  <c r="S46" i="100"/>
  <c r="R46" i="100" s="1"/>
  <c r="Y28" i="123" l="1"/>
  <c r="Z19" i="123"/>
  <c r="P47" i="100"/>
  <c r="O47" i="100" s="1"/>
  <c r="S47" i="100"/>
  <c r="R47" i="100" s="1"/>
  <c r="Y29" i="123" l="1"/>
  <c r="Y30" i="123" s="1"/>
  <c r="Y31" i="123" s="1"/>
  <c r="Y32" i="123" s="1"/>
  <c r="Y33" i="123" s="1"/>
  <c r="P48" i="100"/>
  <c r="O48" i="100" s="1"/>
  <c r="S48" i="100"/>
  <c r="R48" i="100" s="1"/>
  <c r="Y34" i="123" l="1"/>
  <c r="P49" i="100"/>
  <c r="O49" i="100" s="1"/>
  <c r="S49" i="100"/>
  <c r="R49" i="100" s="1"/>
  <c r="Y35" i="123" l="1"/>
  <c r="Z26" i="123"/>
  <c r="Q51" i="100"/>
  <c r="Q52" i="100" s="1"/>
  <c r="Q53" i="100" s="1"/>
  <c r="S53" i="100" s="1"/>
  <c r="P50" i="100"/>
  <c r="O50" i="100" s="1"/>
  <c r="R50" i="100"/>
  <c r="Y36" i="123" l="1"/>
  <c r="Y37" i="123" s="1"/>
  <c r="Y38" i="123" s="1"/>
  <c r="Y39" i="123" s="1"/>
  <c r="Y40" i="123" s="1"/>
  <c r="Y41" i="123" s="1"/>
  <c r="G69" i="124" s="1"/>
  <c r="Y7" i="124" s="1"/>
  <c r="P51" i="100"/>
  <c r="O51" i="100" s="1"/>
  <c r="S51" i="100"/>
  <c r="R51" i="100" s="1"/>
  <c r="Y8" i="124" l="1"/>
  <c r="Z33" i="123"/>
  <c r="P52" i="100"/>
  <c r="O52" i="100" s="1"/>
  <c r="S52" i="100"/>
  <c r="R52" i="100" s="1"/>
  <c r="Y9" i="124" l="1"/>
  <c r="Q54" i="100"/>
  <c r="Q55" i="100" s="1"/>
  <c r="G59" i="101" s="1"/>
  <c r="Q7" i="101" s="1"/>
  <c r="P53" i="100"/>
  <c r="O53" i="100" s="1"/>
  <c r="R53" i="100"/>
  <c r="Y10" i="124" l="1"/>
  <c r="Y11" i="124" s="1"/>
  <c r="Y12" i="124" s="1"/>
  <c r="Q8" i="101"/>
  <c r="S7" i="101"/>
  <c r="R7" i="101" s="1"/>
  <c r="P7" i="101"/>
  <c r="O7" i="101" s="1"/>
  <c r="P54" i="100"/>
  <c r="O54" i="100" s="1"/>
  <c r="S54" i="100"/>
  <c r="R54" i="100" s="1"/>
  <c r="Y13" i="124" l="1"/>
  <c r="Y14" i="124" s="1"/>
  <c r="Y15" i="124" s="1"/>
  <c r="Y16" i="124" s="1"/>
  <c r="Y17" i="124" s="1"/>
  <c r="Y18" i="124" s="1"/>
  <c r="Y19" i="124" s="1"/>
  <c r="Y20" i="124" s="1"/>
  <c r="Z7" i="124"/>
  <c r="S8" i="101"/>
  <c r="R8" i="101" s="1"/>
  <c r="Q9" i="101"/>
  <c r="P8" i="101"/>
  <c r="O8" i="101" s="1"/>
  <c r="P55" i="100"/>
  <c r="O55" i="100" s="1"/>
  <c r="S55" i="100"/>
  <c r="R55" i="100" s="1"/>
  <c r="Z12" i="124" l="1"/>
  <c r="Y21" i="124"/>
  <c r="Y22" i="124" s="1"/>
  <c r="Y23" i="124" s="1"/>
  <c r="Y24" i="124" s="1"/>
  <c r="Y25" i="124" s="1"/>
  <c r="Y26" i="124" s="1"/>
  <c r="Q10" i="101"/>
  <c r="P9" i="101"/>
  <c r="O9" i="101" s="1"/>
  <c r="S9" i="101"/>
  <c r="R9" i="101" s="1"/>
  <c r="Y27" i="124" l="1"/>
  <c r="Y28" i="124" s="1"/>
  <c r="Y29" i="124" s="1"/>
  <c r="Y30" i="124" s="1"/>
  <c r="Y31" i="124" s="1"/>
  <c r="Y32" i="124" s="1"/>
  <c r="Y33" i="124" s="1"/>
  <c r="S10" i="101"/>
  <c r="R10" i="101" s="1"/>
  <c r="Q11" i="101"/>
  <c r="P10" i="101"/>
  <c r="O10" i="101" s="1"/>
  <c r="Z19" i="124" l="1"/>
  <c r="Y34" i="124"/>
  <c r="Y35" i="124" s="1"/>
  <c r="Y36" i="124" s="1"/>
  <c r="Y37" i="124" s="1"/>
  <c r="Y38" i="124" s="1"/>
  <c r="Y39" i="124" s="1"/>
  <c r="Y40" i="124" s="1"/>
  <c r="Q12" i="101"/>
  <c r="P11" i="101"/>
  <c r="O11" i="101" s="1"/>
  <c r="S11" i="101"/>
  <c r="R11" i="101" s="1"/>
  <c r="S12" i="101"/>
  <c r="R12" i="101" s="1"/>
  <c r="Y41" i="124" l="1"/>
  <c r="Y42" i="124" s="1"/>
  <c r="Z33" i="124"/>
  <c r="Z26" i="124"/>
  <c r="P12" i="101"/>
  <c r="O12" i="101" s="1"/>
  <c r="Q13" i="101"/>
  <c r="S13" i="101" s="1"/>
  <c r="R13" i="101" s="1"/>
  <c r="Y43" i="124" l="1"/>
  <c r="Q14" i="101"/>
  <c r="P13" i="101"/>
  <c r="O13" i="101" s="1"/>
  <c r="Y44" i="124" l="1"/>
  <c r="Y45" i="124" s="1"/>
  <c r="Y46" i="124" s="1"/>
  <c r="Y47" i="124" s="1"/>
  <c r="Q15" i="101"/>
  <c r="P14" i="101"/>
  <c r="O14" i="101" s="1"/>
  <c r="S14" i="101"/>
  <c r="R14" i="101" s="1"/>
  <c r="Y48" i="124" l="1"/>
  <c r="Z40" i="124"/>
  <c r="Q16" i="101"/>
  <c r="P15" i="101"/>
  <c r="O15" i="101" s="1"/>
  <c r="S15" i="101"/>
  <c r="R15" i="101" s="1"/>
  <c r="Y49" i="124" l="1"/>
  <c r="P16" i="101"/>
  <c r="O16" i="101" s="1"/>
  <c r="Q17" i="101"/>
  <c r="S16" i="101"/>
  <c r="R16" i="101" s="1"/>
  <c r="Y50" i="124" l="1"/>
  <c r="Y51" i="124" s="1"/>
  <c r="P17" i="101"/>
  <c r="O17" i="101" s="1"/>
  <c r="Q18" i="101"/>
  <c r="S17" i="101"/>
  <c r="R17" i="101" s="1"/>
  <c r="Y52" i="124" l="1"/>
  <c r="Y53" i="124" s="1"/>
  <c r="Y54" i="124" s="1"/>
  <c r="Y55" i="124" s="1"/>
  <c r="P18" i="101"/>
  <c r="O18" i="101" s="1"/>
  <c r="Q19" i="101"/>
  <c r="S18" i="101"/>
  <c r="R18" i="101" s="1"/>
  <c r="Y56" i="124" l="1"/>
  <c r="Y57" i="124" s="1"/>
  <c r="Y58" i="124" s="1"/>
  <c r="Y59" i="124" s="1"/>
  <c r="Y60" i="124" s="1"/>
  <c r="Y61" i="124" s="1"/>
  <c r="Y62" i="124" s="1"/>
  <c r="G55" i="125" s="1"/>
  <c r="Y7" i="125" s="1"/>
  <c r="Z47" i="124"/>
  <c r="Q20" i="101"/>
  <c r="P19" i="101"/>
  <c r="O19" i="101" s="1"/>
  <c r="S19" i="101"/>
  <c r="R19" i="101" s="1"/>
  <c r="Z55" i="124" l="1"/>
  <c r="Y8" i="125"/>
  <c r="Y9" i="125" s="1"/>
  <c r="Y10" i="125" s="1"/>
  <c r="Y11" i="125" s="1"/>
  <c r="Y12" i="125" s="1"/>
  <c r="P20" i="101"/>
  <c r="O20" i="101" s="1"/>
  <c r="Q21" i="101"/>
  <c r="S20" i="101"/>
  <c r="R20" i="101" s="1"/>
  <c r="Y13" i="125" l="1"/>
  <c r="Y14" i="125" s="1"/>
  <c r="Y15" i="125" s="1"/>
  <c r="Y16" i="125" s="1"/>
  <c r="Y17" i="125" s="1"/>
  <c r="Y18" i="125" s="1"/>
  <c r="Y19" i="125" s="1"/>
  <c r="Y20" i="125" s="1"/>
  <c r="P21" i="101"/>
  <c r="O21" i="101" s="1"/>
  <c r="Q22" i="101"/>
  <c r="Q23" i="101" s="1"/>
  <c r="S21" i="101"/>
  <c r="R21" i="101" s="1"/>
  <c r="Z7" i="125" l="1"/>
  <c r="Z12" i="125"/>
  <c r="Y21" i="125"/>
  <c r="Y22" i="125" s="1"/>
  <c r="P22" i="101"/>
  <c r="O22" i="101" s="1"/>
  <c r="S22" i="101"/>
  <c r="R22" i="101" s="1"/>
  <c r="Y23" i="125" l="1"/>
  <c r="Y24" i="125" s="1"/>
  <c r="Q24" i="101"/>
  <c r="P23" i="101"/>
  <c r="O23" i="101" s="1"/>
  <c r="S23" i="101"/>
  <c r="R23" i="101" s="1"/>
  <c r="Y25" i="125" l="1"/>
  <c r="Y26" i="125" s="1"/>
  <c r="P24" i="101"/>
  <c r="O24" i="101" s="1"/>
  <c r="Q25" i="101"/>
  <c r="S24" i="101"/>
  <c r="R24" i="101" s="1"/>
  <c r="Y27" i="125" l="1"/>
  <c r="P25" i="101"/>
  <c r="O25" i="101" s="1"/>
  <c r="Q26" i="101"/>
  <c r="Q27" i="101" s="1"/>
  <c r="Q28" i="101" s="1"/>
  <c r="S25" i="101"/>
  <c r="R25" i="101" s="1"/>
  <c r="Y28" i="125" l="1"/>
  <c r="Z19" i="125"/>
  <c r="P26" i="101"/>
  <c r="O26" i="101" s="1"/>
  <c r="S26" i="101"/>
  <c r="R26" i="101" s="1"/>
  <c r="Y29" i="125" l="1"/>
  <c r="Y30" i="125" s="1"/>
  <c r="Y31" i="125" s="1"/>
  <c r="Y32" i="125" s="1"/>
  <c r="Y33" i="125" s="1"/>
  <c r="P27" i="101"/>
  <c r="O27" i="101" s="1"/>
  <c r="S27" i="101"/>
  <c r="R27" i="101" s="1"/>
  <c r="Y34" i="125" l="1"/>
  <c r="Y35" i="125" s="1"/>
  <c r="Y36" i="125" s="1"/>
  <c r="Y37" i="125" s="1"/>
  <c r="Y38" i="125" s="1"/>
  <c r="Y39" i="125" s="1"/>
  <c r="Y40" i="125" s="1"/>
  <c r="Q29" i="101"/>
  <c r="Q30" i="101" s="1"/>
  <c r="P28" i="101"/>
  <c r="O28" i="101" s="1"/>
  <c r="S28" i="101"/>
  <c r="R28" i="101" s="1"/>
  <c r="Y41" i="125" l="1"/>
  <c r="Y42" i="125" s="1"/>
  <c r="Z26" i="125"/>
  <c r="P29" i="101"/>
  <c r="O29" i="101" s="1"/>
  <c r="S29" i="101"/>
  <c r="R29" i="101" s="1"/>
  <c r="Y43" i="125" l="1"/>
  <c r="Y44" i="125" s="1"/>
  <c r="Z33" i="125"/>
  <c r="P30" i="101"/>
  <c r="O30" i="101" s="1"/>
  <c r="Q31" i="101"/>
  <c r="S30" i="101"/>
  <c r="R30" i="101" s="1"/>
  <c r="Y45" i="125" l="1"/>
  <c r="Y46" i="125" s="1"/>
  <c r="Y47" i="125" s="1"/>
  <c r="Y48" i="125" s="1"/>
  <c r="G62" i="126" s="1"/>
  <c r="Y7" i="126" s="1"/>
  <c r="Y8" i="126" s="1"/>
  <c r="Y9" i="126" s="1"/>
  <c r="Y10" i="126" s="1"/>
  <c r="Y11" i="126" s="1"/>
  <c r="Y12" i="126" s="1"/>
  <c r="Y13" i="126" s="1"/>
  <c r="Y14" i="126" s="1"/>
  <c r="Y15" i="126" s="1"/>
  <c r="P31" i="101"/>
  <c r="O31" i="101" s="1"/>
  <c r="Q32" i="101"/>
  <c r="S32" i="101" s="1"/>
  <c r="S31" i="101"/>
  <c r="R31" i="101" s="1"/>
  <c r="Z40" i="125" l="1"/>
  <c r="Y16" i="126"/>
  <c r="Y17" i="126" s="1"/>
  <c r="Z7" i="126"/>
  <c r="Q33" i="101"/>
  <c r="P32" i="101"/>
  <c r="O32" i="101" s="1"/>
  <c r="R32" i="101"/>
  <c r="Y18" i="126" l="1"/>
  <c r="Y19" i="126" s="1"/>
  <c r="Y20" i="126" s="1"/>
  <c r="Y21" i="126" s="1"/>
  <c r="Y22" i="126" s="1"/>
  <c r="Y23" i="126" s="1"/>
  <c r="Y24" i="126" s="1"/>
  <c r="Y25" i="126" s="1"/>
  <c r="S33" i="101"/>
  <c r="R33" i="101" s="1"/>
  <c r="Q34" i="101"/>
  <c r="Q35" i="101" s="1"/>
  <c r="Q36" i="101" s="1"/>
  <c r="P33" i="101"/>
  <c r="O33" i="101" s="1"/>
  <c r="Z12" i="126" l="1"/>
  <c r="Y26" i="126"/>
  <c r="Y27" i="126" s="1"/>
  <c r="P34" i="101"/>
  <c r="O34" i="101" s="1"/>
  <c r="S34" i="101"/>
  <c r="R34" i="101" s="1"/>
  <c r="Y28" i="126" l="1"/>
  <c r="Y29" i="126" s="1"/>
  <c r="Y30" i="126" s="1"/>
  <c r="Z19" i="126"/>
  <c r="P35" i="101"/>
  <c r="O35" i="101" s="1"/>
  <c r="S35" i="101"/>
  <c r="R35" i="101" s="1"/>
  <c r="Y31" i="126" l="1"/>
  <c r="Y32" i="126" s="1"/>
  <c r="Y33" i="126" s="1"/>
  <c r="Y34" i="126" s="1"/>
  <c r="Y35" i="126" s="1"/>
  <c r="Y36" i="126" s="1"/>
  <c r="Y37" i="126" s="1"/>
  <c r="Y38" i="126" s="1"/>
  <c r="Y39" i="126" s="1"/>
  <c r="Y40" i="126" s="1"/>
  <c r="Y41" i="126" s="1"/>
  <c r="Y42" i="126" s="1"/>
  <c r="Y43" i="126" s="1"/>
  <c r="P36" i="101"/>
  <c r="O36" i="101" s="1"/>
  <c r="Q37" i="101"/>
  <c r="S36" i="101"/>
  <c r="R36" i="101" s="1"/>
  <c r="Y44" i="126" l="1"/>
  <c r="Y45" i="126" s="1"/>
  <c r="Z33" i="126"/>
  <c r="Z26" i="126"/>
  <c r="P37" i="101"/>
  <c r="O37" i="101" s="1"/>
  <c r="Q38" i="101"/>
  <c r="S37" i="101"/>
  <c r="R37" i="101" s="1"/>
  <c r="Y46" i="126" l="1"/>
  <c r="Y47" i="126" s="1"/>
  <c r="Q39" i="101"/>
  <c r="S39" i="101" s="1"/>
  <c r="P38" i="101"/>
  <c r="O38" i="101" s="1"/>
  <c r="S38" i="101"/>
  <c r="R38" i="101" s="1"/>
  <c r="Y48" i="126" l="1"/>
  <c r="Q40" i="101"/>
  <c r="Q41" i="101" s="1"/>
  <c r="Q42" i="101" s="1"/>
  <c r="Q43" i="101" s="1"/>
  <c r="P39" i="101"/>
  <c r="O39" i="101" s="1"/>
  <c r="R39" i="101"/>
  <c r="Y49" i="126" l="1"/>
  <c r="Z40" i="126"/>
  <c r="P40" i="101"/>
  <c r="O40" i="101" s="1"/>
  <c r="S40" i="101"/>
  <c r="R40" i="101" s="1"/>
  <c r="Y50" i="126" l="1"/>
  <c r="Y51" i="126" s="1"/>
  <c r="Y52" i="126" s="1"/>
  <c r="Y53" i="126" s="1"/>
  <c r="P41" i="101"/>
  <c r="O41" i="101" s="1"/>
  <c r="S41" i="101"/>
  <c r="R41" i="101" s="1"/>
  <c r="Y54" i="126" l="1"/>
  <c r="P42" i="101"/>
  <c r="O42" i="101" s="1"/>
  <c r="S42" i="101"/>
  <c r="R42" i="101" s="1"/>
  <c r="Y55" i="126" l="1"/>
  <c r="G62" i="127" s="1"/>
  <c r="Y7" i="127" s="1"/>
  <c r="Y8" i="127" s="1"/>
  <c r="Y9" i="127" s="1"/>
  <c r="Q44" i="101"/>
  <c r="Q45" i="101" s="1"/>
  <c r="Q46" i="101" s="1"/>
  <c r="P43" i="101"/>
  <c r="O43" i="101" s="1"/>
  <c r="S43" i="101"/>
  <c r="R43" i="101" s="1"/>
  <c r="Y10" i="127" l="1"/>
  <c r="Y11" i="127" s="1"/>
  <c r="Y12" i="127" s="1"/>
  <c r="Z47" i="126"/>
  <c r="Q47" i="101"/>
  <c r="Q48" i="101" s="1"/>
  <c r="Q49" i="101" s="1"/>
  <c r="Q50" i="101" s="1"/>
  <c r="S46" i="101"/>
  <c r="P44" i="101"/>
  <c r="O44" i="101" s="1"/>
  <c r="S44" i="101"/>
  <c r="R44" i="101" s="1"/>
  <c r="Y13" i="127" l="1"/>
  <c r="Y14" i="127" s="1"/>
  <c r="Y15" i="127" s="1"/>
  <c r="Y16" i="127" s="1"/>
  <c r="Y17" i="127" s="1"/>
  <c r="Y18" i="127" s="1"/>
  <c r="Y19" i="127" s="1"/>
  <c r="Y20" i="127" s="1"/>
  <c r="Y21" i="127" s="1"/>
  <c r="P45" i="101"/>
  <c r="O45" i="101" s="1"/>
  <c r="S45" i="101"/>
  <c r="R45" i="101" s="1"/>
  <c r="Y22" i="127" l="1"/>
  <c r="Y23" i="127" s="1"/>
  <c r="Y24" i="127" s="1"/>
  <c r="Y25" i="127" s="1"/>
  <c r="Y26" i="127" s="1"/>
  <c r="Z12" i="127"/>
  <c r="Z7" i="127"/>
  <c r="P46" i="101"/>
  <c r="O46" i="101" s="1"/>
  <c r="R46" i="101"/>
  <c r="Y27" i="127" l="1"/>
  <c r="Y28" i="127" s="1"/>
  <c r="Y29" i="127" s="1"/>
  <c r="Y30" i="127" s="1"/>
  <c r="Y31" i="127" s="1"/>
  <c r="Y32" i="127" s="1"/>
  <c r="Y33" i="127" s="1"/>
  <c r="P47" i="101"/>
  <c r="O47" i="101" s="1"/>
  <c r="S47" i="101"/>
  <c r="R47" i="101" s="1"/>
  <c r="Y34" i="127" l="1"/>
  <c r="Y35" i="127" s="1"/>
  <c r="Y36" i="127" s="1"/>
  <c r="Y37" i="127" s="1"/>
  <c r="Y38" i="127" s="1"/>
  <c r="Y39" i="127" s="1"/>
  <c r="Y40" i="127" s="1"/>
  <c r="Z19" i="127"/>
  <c r="P48" i="101"/>
  <c r="O48" i="101" s="1"/>
  <c r="S48" i="101"/>
  <c r="R48" i="101" s="1"/>
  <c r="Z26" i="127" l="1"/>
  <c r="Y41" i="127"/>
  <c r="Y42" i="127" s="1"/>
  <c r="Y43" i="127" s="1"/>
  <c r="Y44" i="127" s="1"/>
  <c r="Y45" i="127" s="1"/>
  <c r="Y46" i="127" s="1"/>
  <c r="Y47" i="127" s="1"/>
  <c r="P49" i="101"/>
  <c r="O49" i="101" s="1"/>
  <c r="S49" i="101"/>
  <c r="R49" i="101" s="1"/>
  <c r="Y48" i="127" l="1"/>
  <c r="Y49" i="127" s="1"/>
  <c r="Y50" i="127" s="1"/>
  <c r="Y51" i="127" s="1"/>
  <c r="Y52" i="127" s="1"/>
  <c r="Y53" i="127" s="1"/>
  <c r="Y54" i="127" s="1"/>
  <c r="Y55" i="127" s="1"/>
  <c r="G62" i="128" s="1"/>
  <c r="Y7" i="128" s="1"/>
  <c r="Z33" i="127"/>
  <c r="P50" i="101"/>
  <c r="O50" i="101" s="1"/>
  <c r="Q51" i="101"/>
  <c r="Q52" i="101" s="1"/>
  <c r="Q53" i="101" s="1"/>
  <c r="S50" i="101"/>
  <c r="R50" i="101" s="1"/>
  <c r="Y8" i="128" l="1"/>
  <c r="Y9" i="128" s="1"/>
  <c r="Y10" i="128" s="1"/>
  <c r="Y11" i="128" s="1"/>
  <c r="Y12" i="128" s="1"/>
  <c r="Z40" i="127"/>
  <c r="Z47" i="127"/>
  <c r="Q54" i="101"/>
  <c r="Q55" i="101" s="1"/>
  <c r="S55" i="101" s="1"/>
  <c r="S53" i="101"/>
  <c r="P51" i="101"/>
  <c r="O51" i="101" s="1"/>
  <c r="S51" i="101"/>
  <c r="R51" i="101" s="1"/>
  <c r="Y13" i="128" l="1"/>
  <c r="P52" i="101"/>
  <c r="O52" i="101" s="1"/>
  <c r="S52" i="101"/>
  <c r="R52" i="101" s="1"/>
  <c r="Y14" i="128" l="1"/>
  <c r="Z7" i="128"/>
  <c r="P53" i="101"/>
  <c r="O53" i="101" s="1"/>
  <c r="R53" i="101"/>
  <c r="Y15" i="128" l="1"/>
  <c r="P54" i="101"/>
  <c r="O54" i="101" s="1"/>
  <c r="G52" i="102"/>
  <c r="Q7" i="102" s="1"/>
  <c r="S54" i="101"/>
  <c r="R54" i="101" s="1"/>
  <c r="Y16" i="128" l="1"/>
  <c r="Y17" i="128" s="1"/>
  <c r="Y18" i="128" s="1"/>
  <c r="Y19" i="128" s="1"/>
  <c r="Y20" i="128" s="1"/>
  <c r="Y21" i="128" s="1"/>
  <c r="Y22" i="128" s="1"/>
  <c r="S7" i="102"/>
  <c r="R7" i="102" s="1"/>
  <c r="Q8" i="102"/>
  <c r="P7" i="102"/>
  <c r="O7" i="102" s="1"/>
  <c r="P55" i="101"/>
  <c r="O55" i="101" s="1"/>
  <c r="R55" i="101"/>
  <c r="Y23" i="128" l="1"/>
  <c r="Y24" i="128" s="1"/>
  <c r="Z12" i="128"/>
  <c r="S8" i="102"/>
  <c r="R8" i="102" s="1"/>
  <c r="Q9" i="102"/>
  <c r="P8" i="102"/>
  <c r="O8" i="102" s="1"/>
  <c r="Y25" i="128" l="1"/>
  <c r="Y26" i="128" s="1"/>
  <c r="Y27" i="128" s="1"/>
  <c r="Y28" i="128" s="1"/>
  <c r="Y29" i="128" s="1"/>
  <c r="Y30" i="128" s="1"/>
  <c r="Y31" i="128" s="1"/>
  <c r="Y32" i="128" s="1"/>
  <c r="Y33" i="128" s="1"/>
  <c r="Y34" i="128" s="1"/>
  <c r="Y35" i="128" s="1"/>
  <c r="Y36" i="128" s="1"/>
  <c r="Y37" i="128" s="1"/>
  <c r="Y38" i="128" s="1"/>
  <c r="Y39" i="128" s="1"/>
  <c r="Y40" i="128" s="1"/>
  <c r="S9" i="102"/>
  <c r="R9" i="102" s="1"/>
  <c r="Q10" i="102"/>
  <c r="S10" i="102" s="1"/>
  <c r="R10" i="102" s="1"/>
  <c r="P9" i="102"/>
  <c r="O9" i="102" s="1"/>
  <c r="Z19" i="128" l="1"/>
  <c r="Y41" i="128"/>
  <c r="Y42" i="128" s="1"/>
  <c r="Y43" i="128" s="1"/>
  <c r="Y44" i="128" s="1"/>
  <c r="Y45" i="128" s="1"/>
  <c r="Y46" i="128" s="1"/>
  <c r="Y47" i="128" s="1"/>
  <c r="Z26" i="128"/>
  <c r="P10" i="102"/>
  <c r="O10" i="102" s="1"/>
  <c r="Q11" i="102"/>
  <c r="Z33" i="128" l="1"/>
  <c r="Y48" i="128"/>
  <c r="Y49" i="128" s="1"/>
  <c r="Y50" i="128" s="1"/>
  <c r="Y51" i="128" s="1"/>
  <c r="Q12" i="102"/>
  <c r="P11" i="102"/>
  <c r="O11" i="102" s="1"/>
  <c r="S11" i="102"/>
  <c r="R11" i="102" s="1"/>
  <c r="Y52" i="128" l="1"/>
  <c r="Y53" i="128" s="1"/>
  <c r="Y54" i="128" s="1"/>
  <c r="Y55" i="128" s="1"/>
  <c r="G62" i="129" s="1"/>
  <c r="Z40" i="128"/>
  <c r="S12" i="102"/>
  <c r="R12" i="102" s="1"/>
  <c r="Q13" i="102"/>
  <c r="Q14" i="102" s="1"/>
  <c r="Q15" i="102" s="1"/>
  <c r="Q16" i="102" s="1"/>
  <c r="P12" i="102"/>
  <c r="O12" i="102" s="1"/>
  <c r="Y7" i="129" l="1"/>
  <c r="Y8" i="129" s="1"/>
  <c r="Y9" i="129" s="1"/>
  <c r="Y10" i="129" s="1"/>
  <c r="Y11" i="129" s="1"/>
  <c r="Y12" i="129" s="1"/>
  <c r="Y13" i="129" s="1"/>
  <c r="Y14" i="129" s="1"/>
  <c r="Y15" i="129" s="1"/>
  <c r="Z47" i="128"/>
  <c r="S14" i="102"/>
  <c r="R14" i="102" s="1"/>
  <c r="P13" i="102"/>
  <c r="O13" i="102" s="1"/>
  <c r="S13" i="102"/>
  <c r="R13" i="102" s="1"/>
  <c r="Z7" i="129" l="1"/>
  <c r="P14" i="102"/>
  <c r="O14" i="102" s="1"/>
  <c r="Y16" i="129" l="1"/>
  <c r="Y17" i="129" s="1"/>
  <c r="Y18" i="129" s="1"/>
  <c r="Y19" i="129" s="1"/>
  <c r="P15" i="102"/>
  <c r="O15" i="102" s="1"/>
  <c r="S16" i="102"/>
  <c r="R16" i="102" s="1"/>
  <c r="S15" i="102"/>
  <c r="R15" i="102" s="1"/>
  <c r="Y20" i="129" l="1"/>
  <c r="Y21" i="129" s="1"/>
  <c r="Y22" i="129" s="1"/>
  <c r="Q17" i="102"/>
  <c r="P16" i="102"/>
  <c r="O16" i="102" s="1"/>
  <c r="Y23" i="129" l="1"/>
  <c r="Y24" i="129" s="1"/>
  <c r="Y25" i="129" s="1"/>
  <c r="Y26" i="129" s="1"/>
  <c r="Y27" i="129" s="1"/>
  <c r="Y28" i="129" s="1"/>
  <c r="Y29" i="129" s="1"/>
  <c r="Y30" i="129" s="1"/>
  <c r="Y31" i="129" s="1"/>
  <c r="Y32" i="129" s="1"/>
  <c r="Y33" i="129" s="1"/>
  <c r="Z12" i="129"/>
  <c r="P17" i="102"/>
  <c r="O17" i="102" s="1"/>
  <c r="Q18" i="102"/>
  <c r="Q19" i="102" s="1"/>
  <c r="S17" i="102"/>
  <c r="R17" i="102" s="1"/>
  <c r="Y34" i="129" l="1"/>
  <c r="Y35" i="129" s="1"/>
  <c r="Y36" i="129" s="1"/>
  <c r="Y37" i="129" s="1"/>
  <c r="Y38" i="129" s="1"/>
  <c r="Y39" i="129" s="1"/>
  <c r="Y40" i="129" s="1"/>
  <c r="Z19" i="129"/>
  <c r="P18" i="102"/>
  <c r="O18" i="102" s="1"/>
  <c r="S18" i="102"/>
  <c r="R18" i="102" s="1"/>
  <c r="Z26" i="129" l="1"/>
  <c r="Y41" i="129"/>
  <c r="Y42" i="129" s="1"/>
  <c r="Y43" i="129" s="1"/>
  <c r="Y44" i="129" s="1"/>
  <c r="Y45" i="129" s="1"/>
  <c r="Y46" i="129" s="1"/>
  <c r="Y47" i="129" s="1"/>
  <c r="Y48" i="129" s="1"/>
  <c r="Q20" i="102"/>
  <c r="P19" i="102"/>
  <c r="O19" i="102" s="1"/>
  <c r="S19" i="102"/>
  <c r="R19" i="102" s="1"/>
  <c r="Y49" i="129" l="1"/>
  <c r="Y50" i="129" s="1"/>
  <c r="Y51" i="129" s="1"/>
  <c r="Z33" i="129"/>
  <c r="P20" i="102"/>
  <c r="O20" i="102" s="1"/>
  <c r="Q21" i="102"/>
  <c r="Q22" i="102" s="1"/>
  <c r="Q23" i="102" s="1"/>
  <c r="S20" i="102"/>
  <c r="R20" i="102" s="1"/>
  <c r="Y52" i="129" l="1"/>
  <c r="Y53" i="129" s="1"/>
  <c r="Y54" i="129" s="1"/>
  <c r="Y55" i="129" s="1"/>
  <c r="G55" i="130" s="1"/>
  <c r="Z40" i="129"/>
  <c r="Z47" i="129"/>
  <c r="P21" i="102"/>
  <c r="O21" i="102" s="1"/>
  <c r="S21" i="102"/>
  <c r="R21" i="102" s="1"/>
  <c r="Y7" i="130" l="1"/>
  <c r="Y8" i="130" s="1"/>
  <c r="Y9" i="130" s="1"/>
  <c r="Y10" i="130" s="1"/>
  <c r="Y11" i="130" s="1"/>
  <c r="Y12" i="130" s="1"/>
  <c r="Y13" i="130" s="1"/>
  <c r="Y14" i="130" s="1"/>
  <c r="P22" i="102"/>
  <c r="O22" i="102" s="1"/>
  <c r="S22" i="102"/>
  <c r="R22" i="102" s="1"/>
  <c r="Y15" i="130" l="1"/>
  <c r="Y16" i="130" s="1"/>
  <c r="Y17" i="130" s="1"/>
  <c r="Y18" i="130" s="1"/>
  <c r="Y19" i="130" s="1"/>
  <c r="Z7" i="130"/>
  <c r="Q24" i="102"/>
  <c r="P23" i="102"/>
  <c r="O23" i="102" s="1"/>
  <c r="S23" i="102"/>
  <c r="R23" i="102" s="1"/>
  <c r="Y20" i="130" l="1"/>
  <c r="Y21" i="130" s="1"/>
  <c r="Y22" i="130" s="1"/>
  <c r="Y23" i="130" s="1"/>
  <c r="Y24" i="130" s="1"/>
  <c r="Y25" i="130" s="1"/>
  <c r="Y26" i="130" s="1"/>
  <c r="Q25" i="102"/>
  <c r="Q26" i="102" s="1"/>
  <c r="P24" i="102"/>
  <c r="O24" i="102" s="1"/>
  <c r="S24" i="102"/>
  <c r="R24" i="102" s="1"/>
  <c r="Z12" i="130" l="1"/>
  <c r="Y27" i="130"/>
  <c r="Y28" i="130" s="1"/>
  <c r="Y29" i="130" s="1"/>
  <c r="Y30" i="130" s="1"/>
  <c r="Y31" i="130" s="1"/>
  <c r="Y32" i="130" s="1"/>
  <c r="Y33" i="130" s="1"/>
  <c r="P25" i="102"/>
  <c r="O25" i="102" s="1"/>
  <c r="S25" i="102"/>
  <c r="R25" i="102" s="1"/>
  <c r="Y34" i="130" l="1"/>
  <c r="Y35" i="130" s="1"/>
  <c r="Y36" i="130" s="1"/>
  <c r="Z19" i="130"/>
  <c r="P26" i="102"/>
  <c r="O26" i="102" s="1"/>
  <c r="Q27" i="102"/>
  <c r="S26" i="102"/>
  <c r="R26" i="102" s="1"/>
  <c r="Y37" i="130" l="1"/>
  <c r="Y38" i="130" s="1"/>
  <c r="Z26" i="130"/>
  <c r="S27" i="102"/>
  <c r="Q28" i="102"/>
  <c r="P27" i="102"/>
  <c r="O27" i="102" s="1"/>
  <c r="R27" i="102"/>
  <c r="Y39" i="130" l="1"/>
  <c r="Y40" i="130" s="1"/>
  <c r="Y41" i="130" s="1"/>
  <c r="Y42" i="130" s="1"/>
  <c r="Y43" i="130" s="1"/>
  <c r="Y44" i="130" s="1"/>
  <c r="Y45" i="130" s="1"/>
  <c r="Y46" i="130" s="1"/>
  <c r="Y47" i="130" s="1"/>
  <c r="Y48" i="130" s="1"/>
  <c r="Z33" i="130"/>
  <c r="Q29" i="102"/>
  <c r="P28" i="102"/>
  <c r="O28" i="102" s="1"/>
  <c r="S28" i="102"/>
  <c r="R28" i="102" s="1"/>
  <c r="Z40" i="130" l="1"/>
  <c r="G62" i="131"/>
  <c r="Y7" i="131" s="1"/>
  <c r="Q30" i="102"/>
  <c r="P29" i="102"/>
  <c r="O29" i="102" s="1"/>
  <c r="S29" i="102"/>
  <c r="R29" i="102" s="1"/>
  <c r="Y8" i="131" l="1"/>
  <c r="Y9" i="131" s="1"/>
  <c r="Y10" i="131" s="1"/>
  <c r="Y11" i="131" s="1"/>
  <c r="Y12" i="131" s="1"/>
  <c r="Q31" i="102"/>
  <c r="P30" i="102"/>
  <c r="O30" i="102" s="1"/>
  <c r="S30" i="102"/>
  <c r="R30" i="102" s="1"/>
  <c r="Y13" i="131" l="1"/>
  <c r="Y14" i="131" s="1"/>
  <c r="Y15" i="131" s="1"/>
  <c r="P31" i="102"/>
  <c r="O31" i="102" s="1"/>
  <c r="Q32" i="102"/>
  <c r="S31" i="102"/>
  <c r="R31" i="102" s="1"/>
  <c r="Y16" i="131" l="1"/>
  <c r="Y17" i="131" s="1"/>
  <c r="Z7" i="131"/>
  <c r="Q33" i="102"/>
  <c r="Q34" i="102" s="1"/>
  <c r="Q35" i="102" s="1"/>
  <c r="Q36" i="102" s="1"/>
  <c r="Q37" i="102" s="1"/>
  <c r="Q38" i="102" s="1"/>
  <c r="Q39" i="102" s="1"/>
  <c r="Q40" i="102" s="1"/>
  <c r="Q41" i="102" s="1"/>
  <c r="Q42" i="102" s="1"/>
  <c r="Q43" i="102" s="1"/>
  <c r="Q44" i="102" s="1"/>
  <c r="Q45" i="102" s="1"/>
  <c r="Q46" i="102" s="1"/>
  <c r="S32" i="102"/>
  <c r="P32" i="102"/>
  <c r="O32" i="102" s="1"/>
  <c r="R32" i="102"/>
  <c r="Y18" i="131" l="1"/>
  <c r="Y19" i="131" s="1"/>
  <c r="Q47" i="102"/>
  <c r="Q48" i="102" s="1"/>
  <c r="G59" i="103" s="1"/>
  <c r="Q7" i="103" s="1"/>
  <c r="P33" i="102"/>
  <c r="O33" i="102" s="1"/>
  <c r="S33" i="102"/>
  <c r="R33" i="102" s="1"/>
  <c r="Y20" i="131" l="1"/>
  <c r="P7" i="103"/>
  <c r="O7" i="103" s="1"/>
  <c r="S7" i="103"/>
  <c r="R7" i="103" s="1"/>
  <c r="Q8" i="103"/>
  <c r="S8" i="103" s="1"/>
  <c r="R8" i="103" s="1"/>
  <c r="P34" i="102"/>
  <c r="O34" i="102" s="1"/>
  <c r="S34" i="102"/>
  <c r="R34" i="102" s="1"/>
  <c r="Y21" i="131" l="1"/>
  <c r="Z12" i="131"/>
  <c r="Q9" i="103"/>
  <c r="P8" i="103"/>
  <c r="O8" i="103" s="1"/>
  <c r="Q10" i="103"/>
  <c r="P9" i="103"/>
  <c r="O9" i="103" s="1"/>
  <c r="S9" i="103"/>
  <c r="R9" i="103" s="1"/>
  <c r="P35" i="102"/>
  <c r="O35" i="102" s="1"/>
  <c r="S35" i="102"/>
  <c r="R35" i="102" s="1"/>
  <c r="Y22" i="131" l="1"/>
  <c r="Y23" i="131" s="1"/>
  <c r="Y24" i="131" s="1"/>
  <c r="Y25" i="131" s="1"/>
  <c r="Y26" i="131" s="1"/>
  <c r="S10" i="103"/>
  <c r="R10" i="103" s="1"/>
  <c r="Q11" i="103"/>
  <c r="Q12" i="103" s="1"/>
  <c r="Q13" i="103" s="1"/>
  <c r="Q14" i="103" s="1"/>
  <c r="Q15" i="103" s="1"/>
  <c r="Q16" i="103" s="1"/>
  <c r="P10" i="103"/>
  <c r="O10" i="103" s="1"/>
  <c r="P36" i="102"/>
  <c r="O36" i="102" s="1"/>
  <c r="S36" i="102"/>
  <c r="R36" i="102" s="1"/>
  <c r="Y27" i="131" l="1"/>
  <c r="Y28" i="131" s="1"/>
  <c r="Y29" i="131" s="1"/>
  <c r="Y30" i="131" s="1"/>
  <c r="Y31" i="131" s="1"/>
  <c r="Y32" i="131" s="1"/>
  <c r="Y33" i="131" s="1"/>
  <c r="P11" i="103"/>
  <c r="O11" i="103" s="1"/>
  <c r="S11" i="103"/>
  <c r="R11" i="103" s="1"/>
  <c r="P37" i="102"/>
  <c r="O37" i="102" s="1"/>
  <c r="S37" i="102"/>
  <c r="R37" i="102" s="1"/>
  <c r="Y34" i="131" l="1"/>
  <c r="Y35" i="131" s="1"/>
  <c r="Y36" i="131" s="1"/>
  <c r="Y37" i="131" s="1"/>
  <c r="Y38" i="131" s="1"/>
  <c r="Y39" i="131" s="1"/>
  <c r="Y40" i="131" s="1"/>
  <c r="Z26" i="131"/>
  <c r="Z19" i="131"/>
  <c r="S12" i="103"/>
  <c r="R12" i="103" s="1"/>
  <c r="P12" i="103"/>
  <c r="O12" i="103" s="1"/>
  <c r="P38" i="102"/>
  <c r="O38" i="102" s="1"/>
  <c r="S38" i="102"/>
  <c r="R38" i="102" s="1"/>
  <c r="Y41" i="131" l="1"/>
  <c r="Y42" i="131" s="1"/>
  <c r="Y43" i="131" s="1"/>
  <c r="Y44" i="131" s="1"/>
  <c r="Y45" i="131" s="1"/>
  <c r="Y46" i="131" s="1"/>
  <c r="Y47" i="131" s="1"/>
  <c r="Y48" i="131" s="1"/>
  <c r="Y49" i="131" s="1"/>
  <c r="Y50" i="131" s="1"/>
  <c r="Y51" i="131" s="1"/>
  <c r="Y52" i="131" s="1"/>
  <c r="Y53" i="131" s="1"/>
  <c r="Y54" i="131" s="1"/>
  <c r="S14" i="103"/>
  <c r="R14" i="103" s="1"/>
  <c r="P13" i="103"/>
  <c r="O13" i="103" s="1"/>
  <c r="S13" i="103"/>
  <c r="R13" i="103" s="1"/>
  <c r="P39" i="102"/>
  <c r="O39" i="102" s="1"/>
  <c r="S39" i="102"/>
  <c r="R39" i="102" s="1"/>
  <c r="Y55" i="131" l="1"/>
  <c r="G55" i="132" s="1"/>
  <c r="Y7" i="132" s="1"/>
  <c r="Z40" i="131"/>
  <c r="Z33" i="131"/>
  <c r="P14" i="103"/>
  <c r="O14" i="103" s="1"/>
  <c r="P40" i="102"/>
  <c r="O40" i="102" s="1"/>
  <c r="S40" i="102"/>
  <c r="R40" i="102" s="1"/>
  <c r="Y8" i="132" l="1"/>
  <c r="Y9" i="132" s="1"/>
  <c r="Y10" i="132" s="1"/>
  <c r="Y11" i="132" s="1"/>
  <c r="Y12" i="132" s="1"/>
  <c r="Z47" i="131"/>
  <c r="P15" i="103"/>
  <c r="O15" i="103" s="1"/>
  <c r="S15" i="103"/>
  <c r="R15" i="103" s="1"/>
  <c r="P41" i="102"/>
  <c r="O41" i="102" s="1"/>
  <c r="S41" i="102"/>
  <c r="R41" i="102" s="1"/>
  <c r="Y13" i="132" l="1"/>
  <c r="Y14" i="132" s="1"/>
  <c r="Y15" i="132" s="1"/>
  <c r="Y16" i="132" s="1"/>
  <c r="P16" i="103"/>
  <c r="O16" i="103" s="1"/>
  <c r="Q17" i="103"/>
  <c r="S16" i="103"/>
  <c r="R16" i="103" s="1"/>
  <c r="P42" i="102"/>
  <c r="O42" i="102" s="1"/>
  <c r="S42" i="102"/>
  <c r="R42" i="102" s="1"/>
  <c r="Z7" i="132" l="1"/>
  <c r="P17" i="103"/>
  <c r="O17" i="103" s="1"/>
  <c r="Q18" i="103"/>
  <c r="Q19" i="103" s="1"/>
  <c r="S17" i="103"/>
  <c r="R17" i="103" s="1"/>
  <c r="P43" i="102"/>
  <c r="O43" i="102" s="1"/>
  <c r="S43" i="102"/>
  <c r="R43" i="102" s="1"/>
  <c r="Y17" i="132" l="1"/>
  <c r="Y18" i="132" s="1"/>
  <c r="Y19" i="132" s="1"/>
  <c r="P18" i="103"/>
  <c r="O18" i="103" s="1"/>
  <c r="S18" i="103"/>
  <c r="R18" i="103" s="1"/>
  <c r="P44" i="102"/>
  <c r="O44" i="102" s="1"/>
  <c r="S44" i="102"/>
  <c r="R44" i="102" s="1"/>
  <c r="Y20" i="132" l="1"/>
  <c r="Y21" i="132" s="1"/>
  <c r="Y22" i="132" s="1"/>
  <c r="Y23" i="132" s="1"/>
  <c r="Y24" i="132" s="1"/>
  <c r="Y25" i="132" s="1"/>
  <c r="Y26" i="132" s="1"/>
  <c r="P19" i="103"/>
  <c r="O19" i="103" s="1"/>
  <c r="Q20" i="103"/>
  <c r="S19" i="103"/>
  <c r="R19" i="103" s="1"/>
  <c r="P45" i="102"/>
  <c r="O45" i="102" s="1"/>
  <c r="S45" i="102"/>
  <c r="R45" i="102" s="1"/>
  <c r="Y27" i="132" l="1"/>
  <c r="Y28" i="132" s="1"/>
  <c r="Y29" i="132" s="1"/>
  <c r="Z12" i="132"/>
  <c r="Q21" i="103"/>
  <c r="Q22" i="103" s="1"/>
  <c r="P20" i="103"/>
  <c r="O20" i="103" s="1"/>
  <c r="S20" i="103"/>
  <c r="R20" i="103" s="1"/>
  <c r="P46" i="102"/>
  <c r="O46" i="102" s="1"/>
  <c r="S46" i="102"/>
  <c r="R46" i="102" s="1"/>
  <c r="Y30" i="132" l="1"/>
  <c r="Y31" i="132" s="1"/>
  <c r="Y32" i="132" s="1"/>
  <c r="Y33" i="132" s="1"/>
  <c r="Y34" i="132" s="1"/>
  <c r="Y35" i="132" s="1"/>
  <c r="Z19" i="132"/>
  <c r="P21" i="103"/>
  <c r="O21" i="103" s="1"/>
  <c r="S21" i="103"/>
  <c r="R21" i="103" s="1"/>
  <c r="P47" i="102"/>
  <c r="O47" i="102" s="1"/>
  <c r="S47" i="102"/>
  <c r="R47" i="102" s="1"/>
  <c r="Y36" i="132" l="1"/>
  <c r="Y37" i="132" s="1"/>
  <c r="Y38" i="132" s="1"/>
  <c r="Y39" i="132" s="1"/>
  <c r="Y40" i="132" s="1"/>
  <c r="Y41" i="132" s="1"/>
  <c r="Y42" i="132" s="1"/>
  <c r="Y43" i="132" s="1"/>
  <c r="Y44" i="132" s="1"/>
  <c r="Y45" i="132" s="1"/>
  <c r="Y46" i="132" s="1"/>
  <c r="Y47" i="132" s="1"/>
  <c r="Z26" i="132"/>
  <c r="P22" i="103"/>
  <c r="O22" i="103" s="1"/>
  <c r="Q23" i="103"/>
  <c r="S22" i="103"/>
  <c r="R22" i="103" s="1"/>
  <c r="P48" i="102"/>
  <c r="O48" i="102" s="1"/>
  <c r="S48" i="102"/>
  <c r="R48" i="102" s="1"/>
  <c r="Y48" i="132" l="1"/>
  <c r="Z47" i="132" s="1"/>
  <c r="Z33" i="132"/>
  <c r="Q24" i="103"/>
  <c r="P23" i="103"/>
  <c r="O23" i="103" s="1"/>
  <c r="S23" i="103"/>
  <c r="R23" i="103" s="1"/>
  <c r="Z40" i="132" l="1"/>
  <c r="P24" i="103"/>
  <c r="O24" i="103" s="1"/>
  <c r="Q25" i="103"/>
  <c r="S24" i="103"/>
  <c r="R24" i="103" s="1"/>
  <c r="Q26" i="103" l="1"/>
  <c r="S25" i="103"/>
  <c r="P25" i="103"/>
  <c r="O25" i="103" s="1"/>
  <c r="R25" i="103"/>
  <c r="S26" i="103" l="1"/>
  <c r="P26" i="103"/>
  <c r="O26" i="103" s="1"/>
  <c r="Q27" i="103"/>
  <c r="R26" i="103"/>
  <c r="Q28" i="103" l="1"/>
  <c r="S28" i="103" s="1"/>
  <c r="S27" i="103"/>
  <c r="R27" i="103" s="1"/>
  <c r="P27" i="103"/>
  <c r="O27" i="103" s="1"/>
  <c r="Q29" i="103" l="1"/>
  <c r="S29" i="103" s="1"/>
  <c r="P28" i="103"/>
  <c r="O28" i="103" s="1"/>
  <c r="R28" i="103"/>
  <c r="P29" i="103" l="1"/>
  <c r="O29" i="103" s="1"/>
  <c r="Q30" i="103"/>
  <c r="R29" i="103"/>
  <c r="P30" i="103" l="1"/>
  <c r="O30" i="103" s="1"/>
  <c r="Q31" i="103"/>
  <c r="S30" i="103"/>
  <c r="R30" i="103" s="1"/>
  <c r="Q32" i="103" l="1"/>
  <c r="S32" i="103" s="1"/>
  <c r="P31" i="103"/>
  <c r="O31" i="103" s="1"/>
  <c r="S31" i="103"/>
  <c r="R31" i="103" s="1"/>
  <c r="P32" i="103" l="1"/>
  <c r="O32" i="103" s="1"/>
  <c r="Q33" i="103"/>
  <c r="R32" i="103"/>
  <c r="P33" i="103" l="1"/>
  <c r="O33" i="103" s="1"/>
  <c r="Q34" i="103"/>
  <c r="Q35" i="103" s="1"/>
  <c r="S33" i="103"/>
  <c r="R33" i="103" s="1"/>
  <c r="P34" i="103" l="1"/>
  <c r="O34" i="103" s="1"/>
  <c r="S34" i="103"/>
  <c r="R34" i="103" s="1"/>
  <c r="Q36" i="103" l="1"/>
  <c r="P35" i="103"/>
  <c r="O35" i="103" s="1"/>
  <c r="S35" i="103"/>
  <c r="R35" i="103" s="1"/>
  <c r="P36" i="103" l="1"/>
  <c r="O36" i="103" s="1"/>
  <c r="Q37" i="103"/>
  <c r="S36" i="103"/>
  <c r="R36" i="103" s="1"/>
  <c r="P37" i="103" l="1"/>
  <c r="O37" i="103" s="1"/>
  <c r="Q38" i="103"/>
  <c r="S37" i="103"/>
  <c r="R37" i="103" s="1"/>
  <c r="Q39" i="103" l="1"/>
  <c r="P38" i="103"/>
  <c r="O38" i="103" s="1"/>
  <c r="S38" i="103"/>
  <c r="R38" i="103" s="1"/>
  <c r="P39" i="103" l="1"/>
  <c r="O39" i="103" s="1"/>
  <c r="Q40" i="103"/>
  <c r="S39" i="103"/>
  <c r="R39" i="103" s="1"/>
  <c r="Q41" i="103" l="1"/>
  <c r="Q42" i="103" s="1"/>
  <c r="P40" i="103"/>
  <c r="O40" i="103" s="1"/>
  <c r="S40" i="103"/>
  <c r="R40" i="103" s="1"/>
  <c r="P41" i="103" l="1"/>
  <c r="O41" i="103" s="1"/>
  <c r="S41" i="103"/>
  <c r="R41" i="103" s="1"/>
  <c r="Q43" i="103" l="1"/>
  <c r="P42" i="103"/>
  <c r="O42" i="103" s="1"/>
  <c r="S42" i="103"/>
  <c r="R42" i="103" s="1"/>
  <c r="P43" i="103" l="1"/>
  <c r="O43" i="103" s="1"/>
  <c r="Q44" i="103"/>
  <c r="S43" i="103"/>
  <c r="R43" i="103" s="1"/>
  <c r="Q45" i="103" l="1"/>
  <c r="P44" i="103"/>
  <c r="O44" i="103" s="1"/>
  <c r="S44" i="103"/>
  <c r="R44" i="103" s="1"/>
  <c r="P45" i="103" l="1"/>
  <c r="O45" i="103" s="1"/>
  <c r="Q46" i="103"/>
  <c r="Q47" i="103" s="1"/>
  <c r="S45" i="103"/>
  <c r="R45" i="103" s="1"/>
  <c r="P46" i="103" l="1"/>
  <c r="O46" i="103" s="1"/>
  <c r="S46" i="103"/>
  <c r="R46" i="103" s="1"/>
  <c r="Q48" i="103" l="1"/>
  <c r="P47" i="103"/>
  <c r="O47" i="103" s="1"/>
  <c r="S47" i="103"/>
  <c r="R47" i="103" s="1"/>
  <c r="Q49" i="103" l="1"/>
  <c r="Q50" i="103" s="1"/>
  <c r="Q51" i="103" s="1"/>
  <c r="S50" i="103"/>
  <c r="P48" i="103"/>
  <c r="O48" i="103" s="1"/>
  <c r="S48" i="103"/>
  <c r="R48" i="103" s="1"/>
  <c r="P49" i="103" l="1"/>
  <c r="O49" i="103" s="1"/>
  <c r="S49" i="103"/>
  <c r="R49" i="103" s="1"/>
  <c r="P50" i="103" l="1"/>
  <c r="O50" i="103" s="1"/>
  <c r="R50" i="103"/>
  <c r="P51" i="103" l="1"/>
  <c r="O51" i="103" s="1"/>
  <c r="Q52" i="103"/>
  <c r="S51" i="103"/>
  <c r="R51" i="103" s="1"/>
  <c r="Q53" i="103" l="1"/>
  <c r="Q54" i="103" s="1"/>
  <c r="Q55" i="103" s="1"/>
  <c r="S55" i="103" s="1"/>
  <c r="P52" i="103"/>
  <c r="O52" i="103" s="1"/>
  <c r="S52" i="103"/>
  <c r="R52" i="103" s="1"/>
  <c r="P53" i="103" l="1"/>
  <c r="O53" i="103" s="1"/>
  <c r="S53" i="103"/>
  <c r="R53" i="103" s="1"/>
  <c r="P54" i="103" l="1"/>
  <c r="O54" i="103" s="1"/>
  <c r="G51" i="104"/>
  <c r="Q7" i="104" s="1"/>
  <c r="S54" i="103"/>
  <c r="R54" i="103" s="1"/>
  <c r="Q8" i="104" l="1"/>
  <c r="S8" i="104" s="1"/>
  <c r="R8" i="104" s="1"/>
  <c r="S7" i="104"/>
  <c r="R7" i="104" s="1"/>
  <c r="P7" i="104"/>
  <c r="O7" i="104" s="1"/>
  <c r="P55" i="103"/>
  <c r="O55" i="103" s="1"/>
  <c r="R55" i="103"/>
  <c r="P8" i="104" l="1"/>
  <c r="O8" i="104" s="1"/>
  <c r="Q9" i="104"/>
  <c r="Q10" i="104" l="1"/>
  <c r="P9" i="104"/>
  <c r="O9" i="104" s="1"/>
  <c r="S9" i="104"/>
  <c r="R9" i="104" s="1"/>
  <c r="S10" i="104" l="1"/>
  <c r="R10" i="104" s="1"/>
  <c r="Q11" i="104"/>
  <c r="Q12" i="104" s="1"/>
  <c r="S12" i="104" s="1"/>
  <c r="P10" i="104"/>
  <c r="O10" i="104" s="1"/>
  <c r="R12" i="104" l="1"/>
  <c r="P11" i="104"/>
  <c r="O11" i="104" s="1"/>
  <c r="S11" i="104"/>
  <c r="R11" i="104" s="1"/>
  <c r="P12" i="104" l="1"/>
  <c r="O12" i="104" s="1"/>
  <c r="Q13" i="104"/>
  <c r="S13" i="104" l="1"/>
  <c r="R13" i="104" s="1"/>
  <c r="Q14" i="104"/>
  <c r="P13" i="104"/>
  <c r="O13" i="104" s="1"/>
  <c r="S14" i="104"/>
  <c r="R14" i="104" s="1"/>
  <c r="Q15" i="104" l="1"/>
  <c r="P14" i="104"/>
  <c r="O14" i="104" s="1"/>
  <c r="Q16" i="104" l="1"/>
  <c r="S16" i="104" s="1"/>
  <c r="R16" i="104" s="1"/>
  <c r="S15" i="104"/>
  <c r="R15" i="104" s="1"/>
  <c r="P15" i="104"/>
  <c r="O15" i="104" s="1"/>
  <c r="P16" i="104" l="1"/>
  <c r="O16" i="104" s="1"/>
  <c r="Q17" i="104"/>
  <c r="P17" i="104" l="1"/>
  <c r="O17" i="104" s="1"/>
  <c r="Q18" i="104"/>
  <c r="Q19" i="104" s="1"/>
  <c r="Q20" i="104" s="1"/>
  <c r="Q21" i="104" s="1"/>
  <c r="Q22" i="104" s="1"/>
  <c r="Q23" i="104" s="1"/>
  <c r="S17" i="104"/>
  <c r="R17" i="104" s="1"/>
  <c r="P18" i="104" l="1"/>
  <c r="O18" i="104" s="1"/>
  <c r="S18" i="104"/>
  <c r="R18" i="104" s="1"/>
  <c r="P19" i="104" l="1"/>
  <c r="O19" i="104" s="1"/>
  <c r="S19" i="104"/>
  <c r="R19" i="104" s="1"/>
  <c r="P20" i="104" l="1"/>
  <c r="O20" i="104" s="1"/>
  <c r="S20" i="104"/>
  <c r="R20" i="104" s="1"/>
  <c r="P21" i="104" l="1"/>
  <c r="O21" i="104" s="1"/>
  <c r="S21" i="104"/>
  <c r="R21" i="104" s="1"/>
  <c r="P22" i="104" l="1"/>
  <c r="O22" i="104" s="1"/>
  <c r="S22" i="104"/>
  <c r="R22" i="104" s="1"/>
  <c r="Q24" i="104" l="1"/>
  <c r="P23" i="104"/>
  <c r="O23" i="104" s="1"/>
  <c r="S23" i="104"/>
  <c r="R23" i="104" s="1"/>
  <c r="Q25" i="104" l="1"/>
  <c r="P24" i="104"/>
  <c r="O24" i="104" s="1"/>
  <c r="S24" i="104"/>
  <c r="R24" i="104" s="1"/>
  <c r="P25" i="104" l="1"/>
  <c r="O25" i="104" s="1"/>
  <c r="Q26" i="104"/>
  <c r="S25" i="104"/>
  <c r="R25" i="104" s="1"/>
  <c r="Q27" i="104" l="1"/>
  <c r="Q28" i="104" s="1"/>
  <c r="Q29" i="104" s="1"/>
  <c r="Q30" i="104" s="1"/>
  <c r="P26" i="104"/>
  <c r="O26" i="104" s="1"/>
  <c r="S26" i="104"/>
  <c r="R26" i="104" s="1"/>
  <c r="P27" i="104" l="1"/>
  <c r="O27" i="104" s="1"/>
  <c r="S27" i="104"/>
  <c r="R27" i="104" s="1"/>
  <c r="P28" i="104" l="1"/>
  <c r="O28" i="104" s="1"/>
  <c r="S28" i="104"/>
  <c r="R28" i="104" s="1"/>
  <c r="P29" i="104" l="1"/>
  <c r="O29" i="104" s="1"/>
  <c r="S29" i="104"/>
  <c r="R29" i="104" s="1"/>
  <c r="Q31" i="104" l="1"/>
  <c r="P30" i="104"/>
  <c r="O30" i="104" s="1"/>
  <c r="S30" i="104"/>
  <c r="R30" i="104" s="1"/>
  <c r="Q32" i="104" l="1"/>
  <c r="P31" i="104"/>
  <c r="O31" i="104" s="1"/>
  <c r="S31" i="104"/>
  <c r="R31" i="104" s="1"/>
  <c r="Q33" i="104" l="1"/>
  <c r="Q34" i="104" s="1"/>
  <c r="P32" i="104"/>
  <c r="O32" i="104" s="1"/>
  <c r="S32" i="104"/>
  <c r="R32" i="104" s="1"/>
  <c r="P33" i="104" l="1"/>
  <c r="O33" i="104" s="1"/>
  <c r="S33" i="104"/>
  <c r="R33" i="104" s="1"/>
  <c r="P34" i="104" l="1"/>
  <c r="O34" i="104" s="1"/>
  <c r="Q35" i="104"/>
  <c r="Q36" i="104" s="1"/>
  <c r="Q37" i="104" s="1"/>
  <c r="S34" i="104"/>
  <c r="R34" i="104" s="1"/>
  <c r="P35" i="104" l="1"/>
  <c r="O35" i="104" s="1"/>
  <c r="S35" i="104"/>
  <c r="R35" i="104" s="1"/>
  <c r="P36" i="104" l="1"/>
  <c r="O36" i="104" s="1"/>
  <c r="S36" i="104"/>
  <c r="R36" i="104" s="1"/>
  <c r="Q38" i="104" l="1"/>
  <c r="P37" i="104"/>
  <c r="O37" i="104" s="1"/>
  <c r="S37" i="104"/>
  <c r="R37" i="104" s="1"/>
  <c r="Q39" i="104" l="1"/>
  <c r="P38" i="104"/>
  <c r="O38" i="104" s="1"/>
  <c r="S38" i="104"/>
  <c r="R38" i="104" s="1"/>
  <c r="Q40" i="104" l="1"/>
  <c r="Q41" i="104" s="1"/>
  <c r="Q42" i="104" s="1"/>
  <c r="Q43" i="104" s="1"/>
  <c r="Q44" i="104" s="1"/>
  <c r="P39" i="104"/>
  <c r="O39" i="104" s="1"/>
  <c r="S39" i="104"/>
  <c r="R39" i="104" s="1"/>
  <c r="P40" i="104" l="1"/>
  <c r="O40" i="104" s="1"/>
  <c r="S40" i="104"/>
  <c r="R40" i="104" s="1"/>
  <c r="P41" i="104" l="1"/>
  <c r="O41" i="104" s="1"/>
  <c r="S41" i="104"/>
  <c r="R41" i="104" s="1"/>
  <c r="P42" i="104" l="1"/>
  <c r="O42" i="104" s="1"/>
  <c r="S42" i="104"/>
  <c r="R42" i="104" s="1"/>
  <c r="P43" i="104" l="1"/>
  <c r="O43" i="104" s="1"/>
  <c r="S43" i="104"/>
  <c r="R43" i="104" s="1"/>
  <c r="Q45" i="104" l="1"/>
  <c r="P44" i="104"/>
  <c r="O44" i="104" s="1"/>
  <c r="S44" i="104"/>
  <c r="R44" i="104" s="1"/>
  <c r="Q46" i="104" l="1"/>
  <c r="P45" i="104"/>
  <c r="O45" i="104" s="1"/>
  <c r="S45" i="104"/>
  <c r="R45" i="104" s="1"/>
  <c r="Q47" i="104" l="1"/>
  <c r="Q48" i="104" s="1"/>
  <c r="S48" i="104" s="1"/>
  <c r="P46" i="104"/>
  <c r="O46" i="104" s="1"/>
  <c r="S46" i="104"/>
  <c r="R46" i="104" s="1"/>
  <c r="G59" i="105" l="1"/>
  <c r="Q7" i="105" s="1"/>
  <c r="P47" i="104"/>
  <c r="O47" i="104" s="1"/>
  <c r="S47" i="104"/>
  <c r="R47" i="104" s="1"/>
  <c r="Q8" i="105" l="1"/>
  <c r="Q9" i="105" s="1"/>
  <c r="S7" i="105"/>
  <c r="R7" i="105" s="1"/>
  <c r="P7" i="105"/>
  <c r="O7" i="105" s="1"/>
  <c r="S8" i="105"/>
  <c r="R8" i="105" s="1"/>
  <c r="R48" i="104"/>
  <c r="P48" i="104"/>
  <c r="O48" i="104" s="1"/>
  <c r="P8" i="105" l="1"/>
  <c r="O8" i="105" s="1"/>
  <c r="S9" i="105" l="1"/>
  <c r="R9" i="105" s="1"/>
  <c r="Q10" i="105"/>
  <c r="S10" i="105" s="1"/>
  <c r="R10" i="105" s="1"/>
  <c r="P9" i="105"/>
  <c r="O9" i="105" s="1"/>
  <c r="Q11" i="105" l="1"/>
  <c r="Q12" i="105" s="1"/>
  <c r="Q13" i="105" s="1"/>
  <c r="P10" i="105"/>
  <c r="O10" i="105" s="1"/>
  <c r="S11" i="105" l="1"/>
  <c r="R11" i="105" s="1"/>
  <c r="P11" i="105"/>
  <c r="O11" i="105" s="1"/>
  <c r="S12" i="105"/>
  <c r="R12" i="105" s="1"/>
  <c r="P12" i="105" l="1"/>
  <c r="O12" i="105" s="1"/>
  <c r="P13" i="105" l="1"/>
  <c r="O13" i="105" s="1"/>
  <c r="Q14" i="105"/>
  <c r="S13" i="105"/>
  <c r="R13" i="105" s="1"/>
  <c r="S14" i="105" l="1"/>
  <c r="R14" i="105" s="1"/>
  <c r="Q15" i="105"/>
  <c r="Q16" i="105" s="1"/>
  <c r="P14" i="105"/>
  <c r="O14" i="105" s="1"/>
  <c r="S15" i="105" l="1"/>
  <c r="R15" i="105" s="1"/>
  <c r="P15" i="105"/>
  <c r="O15" i="105" s="1"/>
  <c r="Q17" i="105" l="1"/>
  <c r="P16" i="105"/>
  <c r="O16" i="105" s="1"/>
  <c r="S16" i="105"/>
  <c r="R16" i="105" s="1"/>
  <c r="Q18" i="105" l="1"/>
  <c r="Q19" i="105" s="1"/>
  <c r="P17" i="105"/>
  <c r="O17" i="105" s="1"/>
  <c r="S17" i="105"/>
  <c r="R17" i="105" s="1"/>
  <c r="P18" i="105" l="1"/>
  <c r="O18" i="105" s="1"/>
  <c r="S18" i="105"/>
  <c r="R18" i="105" s="1"/>
  <c r="Q20" i="105" l="1"/>
  <c r="P19" i="105"/>
  <c r="O19" i="105" s="1"/>
  <c r="S19" i="105"/>
  <c r="R19" i="105" s="1"/>
  <c r="Q21" i="105" l="1"/>
  <c r="Q22" i="105" s="1"/>
  <c r="Q23" i="105" s="1"/>
  <c r="P20" i="105"/>
  <c r="O20" i="105" s="1"/>
  <c r="S20" i="105"/>
  <c r="R20" i="105" s="1"/>
  <c r="P21" i="105" l="1"/>
  <c r="O21" i="105" s="1"/>
  <c r="S21" i="105"/>
  <c r="R21" i="105" s="1"/>
  <c r="P22" i="105" l="1"/>
  <c r="O22" i="105" s="1"/>
  <c r="S22" i="105"/>
  <c r="R22" i="105" s="1"/>
  <c r="Q24" i="105" l="1"/>
  <c r="P23" i="105"/>
  <c r="O23" i="105" s="1"/>
  <c r="S23" i="105"/>
  <c r="R23" i="105" s="1"/>
  <c r="Q25" i="105" l="1"/>
  <c r="S25" i="105" s="1"/>
  <c r="P24" i="105"/>
  <c r="O24" i="105" s="1"/>
  <c r="S24" i="105"/>
  <c r="R24" i="105" s="1"/>
  <c r="Q26" i="105" l="1"/>
  <c r="S26" i="105" s="1"/>
  <c r="P25" i="105"/>
  <c r="O25" i="105" s="1"/>
  <c r="R25" i="105"/>
  <c r="P26" i="105" l="1"/>
  <c r="O26" i="105" s="1"/>
  <c r="Q27" i="105"/>
  <c r="Q28" i="105" s="1"/>
  <c r="Q29" i="105" s="1"/>
  <c r="S29" i="105" s="1"/>
  <c r="R26" i="105"/>
  <c r="P27" i="105" l="1"/>
  <c r="O27" i="105" s="1"/>
  <c r="S27" i="105"/>
  <c r="R27" i="105" s="1"/>
  <c r="P28" i="105" l="1"/>
  <c r="O28" i="105" s="1"/>
  <c r="S28" i="105"/>
  <c r="R28" i="105" s="1"/>
  <c r="Q30" i="105" l="1"/>
  <c r="P29" i="105"/>
  <c r="O29" i="105" s="1"/>
  <c r="R29" i="105"/>
  <c r="Q31" i="105" l="1"/>
  <c r="P30" i="105"/>
  <c r="O30" i="105" s="1"/>
  <c r="S30" i="105"/>
  <c r="R30" i="105" s="1"/>
  <c r="Q32" i="105" l="1"/>
  <c r="Q33" i="105" s="1"/>
  <c r="P31" i="105"/>
  <c r="O31" i="105" s="1"/>
  <c r="S31" i="105"/>
  <c r="R31" i="105" s="1"/>
  <c r="Q34" i="105" l="1"/>
  <c r="P32" i="105"/>
  <c r="O32" i="105" s="1"/>
  <c r="S32" i="105"/>
  <c r="R32" i="105" s="1"/>
  <c r="P33" i="105" l="1"/>
  <c r="O33" i="105" s="1"/>
  <c r="S33" i="105"/>
  <c r="R33" i="105" s="1"/>
  <c r="P34" i="105" l="1"/>
  <c r="O34" i="105" s="1"/>
  <c r="Q35" i="105"/>
  <c r="S34" i="105"/>
  <c r="R34" i="105" s="1"/>
  <c r="P35" i="105" l="1"/>
  <c r="O35" i="105" s="1"/>
  <c r="Q36" i="105"/>
  <c r="Q37" i="105" s="1"/>
  <c r="S35" i="105"/>
  <c r="R35" i="105" s="1"/>
  <c r="P36" i="105" l="1"/>
  <c r="O36" i="105" s="1"/>
  <c r="S36" i="105"/>
  <c r="R36" i="105" s="1"/>
  <c r="Q38" i="105" l="1"/>
  <c r="P37" i="105"/>
  <c r="O37" i="105" s="1"/>
  <c r="S37" i="105"/>
  <c r="R37" i="105" s="1"/>
  <c r="Q39" i="105" l="1"/>
  <c r="Q40" i="105" s="1"/>
  <c r="Q41" i="105" s="1"/>
  <c r="Q42" i="105" s="1"/>
  <c r="S41" i="105"/>
  <c r="P38" i="105"/>
  <c r="O38" i="105" s="1"/>
  <c r="S38" i="105"/>
  <c r="R38" i="105" s="1"/>
  <c r="P39" i="105" l="1"/>
  <c r="O39" i="105" s="1"/>
  <c r="S39" i="105"/>
  <c r="R39" i="105" s="1"/>
  <c r="P40" i="105" l="1"/>
  <c r="O40" i="105" s="1"/>
  <c r="S40" i="105"/>
  <c r="R40" i="105" s="1"/>
  <c r="P41" i="105" l="1"/>
  <c r="O41" i="105" s="1"/>
  <c r="R41" i="105"/>
  <c r="Q43" i="105" l="1"/>
  <c r="Q44" i="105" s="1"/>
  <c r="P42" i="105"/>
  <c r="O42" i="105" s="1"/>
  <c r="S42" i="105"/>
  <c r="R42" i="105" s="1"/>
  <c r="P43" i="105" l="1"/>
  <c r="O43" i="105" s="1"/>
  <c r="S43" i="105"/>
  <c r="R43" i="105" s="1"/>
  <c r="Q45" i="105" l="1"/>
  <c r="P44" i="105"/>
  <c r="O44" i="105" s="1"/>
  <c r="S44" i="105"/>
  <c r="R44" i="105" s="1"/>
  <c r="Q46" i="105" l="1"/>
  <c r="Q47" i="105" s="1"/>
  <c r="Q48" i="105" s="1"/>
  <c r="P45" i="105"/>
  <c r="O45" i="105" s="1"/>
  <c r="S45" i="105"/>
  <c r="R45" i="105" s="1"/>
  <c r="Q49" i="105" l="1"/>
  <c r="S48" i="105"/>
  <c r="P46" i="105"/>
  <c r="O46" i="105" s="1"/>
  <c r="S46" i="105"/>
  <c r="R46" i="105" s="1"/>
  <c r="P47" i="105" l="1"/>
  <c r="O47" i="105" s="1"/>
  <c r="S47" i="105"/>
  <c r="R47" i="105" s="1"/>
  <c r="P48" i="105" l="1"/>
  <c r="O48" i="105" s="1"/>
  <c r="R48" i="105"/>
  <c r="P49" i="105" l="1"/>
  <c r="O49" i="105" s="1"/>
  <c r="Q50" i="105"/>
  <c r="Q51" i="105" s="1"/>
  <c r="S49" i="105"/>
  <c r="R49" i="105" s="1"/>
  <c r="P50" i="105" l="1"/>
  <c r="O50" i="105" s="1"/>
  <c r="S50" i="105"/>
  <c r="R50" i="105" s="1"/>
  <c r="Q52" i="105" l="1"/>
  <c r="P51" i="105"/>
  <c r="O51" i="105" s="1"/>
  <c r="S51" i="105"/>
  <c r="R51" i="105" s="1"/>
  <c r="Q53" i="105" l="1"/>
  <c r="Q54" i="105" s="1"/>
  <c r="P52" i="105"/>
  <c r="O52" i="105" s="1"/>
  <c r="S52" i="105"/>
  <c r="R52" i="105" s="1"/>
  <c r="Q55" i="105" l="1"/>
  <c r="S55" i="105" s="1"/>
  <c r="S54" i="105"/>
  <c r="P53" i="105"/>
  <c r="O53" i="105" s="1"/>
  <c r="S53" i="105"/>
  <c r="R53" i="105" s="1"/>
  <c r="P54" i="105" l="1"/>
  <c r="O54" i="105" s="1"/>
  <c r="G59" i="106"/>
  <c r="Q7" i="106" s="1"/>
  <c r="Q8" i="106" s="1"/>
  <c r="Q9" i="106" s="1"/>
  <c r="R54" i="105"/>
  <c r="S7" i="106" l="1"/>
  <c r="R7" i="106" s="1"/>
  <c r="S8" i="106"/>
  <c r="R8" i="106" s="1"/>
  <c r="P7" i="106"/>
  <c r="O7" i="106" s="1"/>
  <c r="P55" i="105"/>
  <c r="O55" i="105" s="1"/>
  <c r="R55" i="105"/>
  <c r="P8" i="106" l="1"/>
  <c r="O8" i="106" s="1"/>
  <c r="P9" i="106" l="1"/>
  <c r="O9" i="106" s="1"/>
  <c r="Q10" i="106"/>
  <c r="S9" i="106"/>
  <c r="R9" i="106" s="1"/>
  <c r="S10" i="106" l="1"/>
  <c r="R10" i="106" s="1"/>
  <c r="Q11" i="106"/>
  <c r="Q12" i="106" s="1"/>
  <c r="Q13" i="106" s="1"/>
  <c r="Q14" i="106" s="1"/>
  <c r="Q15" i="106" s="1"/>
  <c r="P10" i="106"/>
  <c r="O10" i="106" s="1"/>
  <c r="Q16" i="106" l="1"/>
  <c r="P11" i="106"/>
  <c r="O11" i="106" s="1"/>
  <c r="S12" i="106"/>
  <c r="R12" i="106" s="1"/>
  <c r="S11" i="106"/>
  <c r="R11" i="106" s="1"/>
  <c r="Q17" i="106" l="1"/>
  <c r="P12" i="106"/>
  <c r="O12" i="106" s="1"/>
  <c r="Q18" i="106" l="1"/>
  <c r="P13" i="106"/>
  <c r="O13" i="106" s="1"/>
  <c r="S13" i="106"/>
  <c r="R13" i="106" s="1"/>
  <c r="Q19" i="106" l="1"/>
  <c r="P14" i="106"/>
  <c r="S14" i="106"/>
  <c r="R14" i="106" s="1"/>
  <c r="O14" i="106" l="1"/>
  <c r="P15" i="106"/>
  <c r="Q20" i="106"/>
  <c r="S16" i="106"/>
  <c r="R16" i="106" s="1"/>
  <c r="S15" i="106"/>
  <c r="R15" i="106" s="1"/>
  <c r="O15" i="106" l="1"/>
  <c r="P16" i="106"/>
  <c r="Q21" i="106"/>
  <c r="S17" i="106"/>
  <c r="R17" i="106" s="1"/>
  <c r="Q22" i="106" l="1"/>
  <c r="O16" i="106"/>
  <c r="P17" i="106"/>
  <c r="S18" i="106"/>
  <c r="R18" i="106" s="1"/>
  <c r="O17" i="106" l="1"/>
  <c r="P18" i="106"/>
  <c r="Q23" i="106"/>
  <c r="S19" i="106"/>
  <c r="R19" i="106" s="1"/>
  <c r="O18" i="106" l="1"/>
  <c r="P19" i="106"/>
  <c r="Q24" i="106"/>
  <c r="S20" i="106"/>
  <c r="R20" i="106" s="1"/>
  <c r="Q25" i="106" l="1"/>
  <c r="Q26" i="106" s="1"/>
  <c r="O19" i="106"/>
  <c r="P20" i="106"/>
  <c r="S21" i="106"/>
  <c r="R21" i="106" s="1"/>
  <c r="O20" i="106" l="1"/>
  <c r="P21" i="106"/>
  <c r="S22" i="106"/>
  <c r="R22" i="106" s="1"/>
  <c r="Q27" i="106" l="1"/>
  <c r="Q28" i="106" s="1"/>
  <c r="Q29" i="106" s="1"/>
  <c r="Q30" i="106" s="1"/>
  <c r="O21" i="106"/>
  <c r="P22" i="106"/>
  <c r="S23" i="106"/>
  <c r="R23" i="106" s="1"/>
  <c r="O22" i="106" l="1"/>
  <c r="P23" i="106"/>
  <c r="S24" i="106"/>
  <c r="R24" i="106" s="1"/>
  <c r="O23" i="106" l="1"/>
  <c r="P24" i="106"/>
  <c r="S25" i="106"/>
  <c r="R25" i="106" s="1"/>
  <c r="O24" i="106" l="1"/>
  <c r="P25" i="106"/>
  <c r="S26" i="106"/>
  <c r="R26" i="106" s="1"/>
  <c r="O25" i="106" l="1"/>
  <c r="P26" i="106"/>
  <c r="Q31" i="106"/>
  <c r="S27" i="106"/>
  <c r="R27" i="106" s="1"/>
  <c r="Q32" i="106" l="1"/>
  <c r="O26" i="106"/>
  <c r="P27" i="106"/>
  <c r="S28" i="106"/>
  <c r="R28" i="106" s="1"/>
  <c r="O27" i="106" l="1"/>
  <c r="P28" i="106"/>
  <c r="Q33" i="106"/>
  <c r="Q34" i="106" s="1"/>
  <c r="Q35" i="106" s="1"/>
  <c r="Q36" i="106" s="1"/>
  <c r="S29" i="106"/>
  <c r="R29" i="106" s="1"/>
  <c r="O28" i="106" l="1"/>
  <c r="P29" i="106"/>
  <c r="S30" i="106"/>
  <c r="R30" i="106" s="1"/>
  <c r="O29" i="106" l="1"/>
  <c r="P30" i="106"/>
  <c r="S31" i="106"/>
  <c r="R31" i="106" s="1"/>
  <c r="O30" i="106" l="1"/>
  <c r="P31" i="106"/>
  <c r="S32" i="106"/>
  <c r="R32" i="106" s="1"/>
  <c r="Q37" i="106" l="1"/>
  <c r="O31" i="106"/>
  <c r="P32" i="106"/>
  <c r="S33" i="106"/>
  <c r="R33" i="106" s="1"/>
  <c r="O32" i="106" l="1"/>
  <c r="P33" i="106"/>
  <c r="Q38" i="106"/>
  <c r="S34" i="106"/>
  <c r="R34" i="106" s="1"/>
  <c r="Q39" i="106" l="1"/>
  <c r="O33" i="106"/>
  <c r="P34" i="106"/>
  <c r="S35" i="106"/>
  <c r="R35" i="106" s="1"/>
  <c r="O34" i="106" l="1"/>
  <c r="P35" i="106"/>
  <c r="Q40" i="106"/>
  <c r="S36" i="106"/>
  <c r="R36" i="106" s="1"/>
  <c r="Q41" i="106" l="1"/>
  <c r="Q42" i="106" s="1"/>
  <c r="O35" i="106"/>
  <c r="P36" i="106"/>
  <c r="S37" i="106"/>
  <c r="R37" i="106" s="1"/>
  <c r="O36" i="106" l="1"/>
  <c r="P37" i="106"/>
  <c r="S38" i="106"/>
  <c r="R38" i="106" s="1"/>
  <c r="O37" i="106" l="1"/>
  <c r="P38" i="106"/>
  <c r="S39" i="106"/>
  <c r="R39" i="106" s="1"/>
  <c r="O38" i="106" l="1"/>
  <c r="P39" i="106"/>
  <c r="S40" i="106"/>
  <c r="R40" i="106" s="1"/>
  <c r="O39" i="106" l="1"/>
  <c r="P40" i="106"/>
  <c r="S41" i="106"/>
  <c r="R41" i="106" s="1"/>
  <c r="O40" i="106" l="1"/>
  <c r="P41" i="106"/>
  <c r="O41" i="106" s="1"/>
  <c r="Q43" i="106"/>
  <c r="S42" i="106"/>
  <c r="R42" i="106" s="1"/>
  <c r="S43" i="106" l="1"/>
  <c r="R43" i="106" s="1"/>
  <c r="Q44" i="106"/>
  <c r="P42" i="106"/>
  <c r="O42" i="106" s="1"/>
  <c r="P43" i="106" l="1"/>
  <c r="O43" i="106" s="1"/>
  <c r="Q45" i="106"/>
  <c r="S44" i="106"/>
  <c r="R44" i="106" s="1"/>
  <c r="P44" i="106" l="1"/>
  <c r="O44" i="106" s="1"/>
  <c r="Q46" i="106"/>
  <c r="P45" i="106"/>
  <c r="O45" i="106" s="1"/>
  <c r="S45" i="106"/>
  <c r="R45" i="106" s="1"/>
  <c r="Q47" i="106" l="1"/>
  <c r="Q48" i="106" s="1"/>
  <c r="P46" i="106"/>
  <c r="O46" i="106" s="1"/>
  <c r="S46" i="106"/>
  <c r="R46" i="106" s="1"/>
  <c r="P47" i="106" l="1"/>
  <c r="O47" i="106" s="1"/>
  <c r="S47" i="106"/>
  <c r="R47" i="106" s="1"/>
  <c r="Q49" i="106" l="1"/>
  <c r="P48" i="106"/>
  <c r="O48" i="106" s="1"/>
  <c r="S48" i="106"/>
  <c r="R48" i="106" s="1"/>
  <c r="Q50" i="106" l="1"/>
  <c r="Q51" i="106" s="1"/>
  <c r="S49" i="106"/>
  <c r="R49" i="106" s="1"/>
  <c r="P49" i="106"/>
  <c r="O49" i="106" s="1"/>
  <c r="P50" i="106" l="1"/>
  <c r="O50" i="106" s="1"/>
  <c r="S50" i="106"/>
  <c r="R50" i="106" s="1"/>
  <c r="Q52" i="106" l="1"/>
  <c r="P51" i="106"/>
  <c r="O51" i="106" s="1"/>
  <c r="S51" i="106"/>
  <c r="R51" i="106" s="1"/>
  <c r="Q53" i="106" l="1"/>
  <c r="Q54" i="106" s="1"/>
  <c r="Q55" i="106" s="1"/>
  <c r="P52" i="106"/>
  <c r="O52" i="106" s="1"/>
  <c r="S52" i="106"/>
  <c r="R52" i="106" s="1"/>
  <c r="P53" i="106" l="1"/>
  <c r="O53" i="106" s="1"/>
  <c r="S53" i="106"/>
  <c r="R53" i="106" s="1"/>
  <c r="P54" i="106" l="1"/>
  <c r="O54" i="106" s="1"/>
  <c r="G45" i="107"/>
  <c r="Q7" i="107" s="1"/>
  <c r="S54" i="106"/>
  <c r="R54" i="106" s="1"/>
  <c r="P7" i="107" l="1"/>
  <c r="O7" i="107" s="1"/>
  <c r="S7" i="107"/>
  <c r="R7" i="107" s="1"/>
  <c r="Q8" i="107"/>
  <c r="Q9" i="107" s="1"/>
  <c r="P55" i="106"/>
  <c r="O55" i="106" s="1"/>
  <c r="S55" i="106"/>
  <c r="R55" i="106" s="1"/>
  <c r="S8" i="107" l="1"/>
  <c r="R8" i="107" s="1"/>
  <c r="P8" i="107"/>
  <c r="O8" i="107" s="1"/>
  <c r="P9" i="107" l="1"/>
  <c r="O9" i="107" s="1"/>
  <c r="Q10" i="107"/>
  <c r="S9" i="107"/>
  <c r="R9" i="107" s="1"/>
  <c r="S10" i="107" l="1"/>
  <c r="R10" i="107" s="1"/>
  <c r="P10" i="107"/>
  <c r="O10" i="107" s="1"/>
  <c r="Q11" i="107"/>
  <c r="Q12" i="107" s="1"/>
  <c r="Q13" i="107" s="1"/>
  <c r="Q14" i="107" s="1"/>
  <c r="P11" i="107" l="1"/>
  <c r="O11" i="107" s="1"/>
  <c r="S11" i="107"/>
  <c r="R11" i="107" s="1"/>
  <c r="S12" i="107" l="1"/>
  <c r="R12" i="107" s="1"/>
  <c r="P12" i="107"/>
  <c r="O12" i="107" s="1"/>
  <c r="P13" i="107" l="1"/>
  <c r="O13" i="107" s="1"/>
  <c r="S13" i="107"/>
  <c r="R13" i="107" s="1"/>
  <c r="Q15" i="107" l="1"/>
  <c r="P14" i="107"/>
  <c r="O14" i="107" s="1"/>
  <c r="S14" i="107"/>
  <c r="R14" i="107" s="1"/>
  <c r="S15" i="107" l="1"/>
  <c r="R15" i="107" s="1"/>
  <c r="Q16" i="107"/>
  <c r="S16" i="107" s="1"/>
  <c r="R16" i="107" s="1"/>
  <c r="P15" i="107"/>
  <c r="O15" i="107" s="1"/>
  <c r="Q17" i="107" l="1"/>
  <c r="P16" i="107"/>
  <c r="O16" i="107" s="1"/>
  <c r="Q18" i="107" l="1"/>
  <c r="S18" i="107" s="1"/>
  <c r="P17" i="107"/>
  <c r="O17" i="107" s="1"/>
  <c r="S17" i="107"/>
  <c r="R17" i="107" s="1"/>
  <c r="Q19" i="107" l="1"/>
  <c r="S19" i="107" s="1"/>
  <c r="P18" i="107"/>
  <c r="O18" i="107" s="1"/>
  <c r="R18" i="107"/>
  <c r="Q20" i="107" l="1"/>
  <c r="S20" i="107" s="1"/>
  <c r="P19" i="107"/>
  <c r="O19" i="107" s="1"/>
  <c r="R19" i="107"/>
  <c r="Q21" i="107" l="1"/>
  <c r="Q22" i="107" s="1"/>
  <c r="P20" i="107"/>
  <c r="O20" i="107" s="1"/>
  <c r="R20" i="107"/>
  <c r="Q23" i="107" l="1"/>
  <c r="S22" i="107"/>
  <c r="P21" i="107"/>
  <c r="O21" i="107" s="1"/>
  <c r="S21" i="107"/>
  <c r="R21" i="107" s="1"/>
  <c r="P22" i="107" l="1"/>
  <c r="O22" i="107" s="1"/>
  <c r="R22" i="107"/>
  <c r="Q24" i="107" l="1"/>
  <c r="P23" i="107"/>
  <c r="O23" i="107" s="1"/>
  <c r="S23" i="107"/>
  <c r="R23" i="107" s="1"/>
  <c r="Q25" i="107" l="1"/>
  <c r="Q26" i="107" s="1"/>
  <c r="S26" i="107" s="1"/>
  <c r="P24" i="107"/>
  <c r="O24" i="107" s="1"/>
  <c r="S24" i="107"/>
  <c r="R24" i="107" s="1"/>
  <c r="P25" i="107" l="1"/>
  <c r="O25" i="107" s="1"/>
  <c r="S25" i="107"/>
  <c r="R25" i="107" s="1"/>
  <c r="P26" i="107" l="1"/>
  <c r="O26" i="107" s="1"/>
  <c r="Q27" i="107"/>
  <c r="R26" i="107"/>
  <c r="Q28" i="107" l="1"/>
  <c r="Q29" i="107" s="1"/>
  <c r="Q30" i="107" s="1"/>
  <c r="S27" i="107"/>
  <c r="R27" i="107" s="1"/>
  <c r="P27" i="107"/>
  <c r="O27" i="107" s="1"/>
  <c r="S28" i="107" l="1"/>
  <c r="R28" i="107" s="1"/>
  <c r="S29" i="107"/>
  <c r="P28" i="107"/>
  <c r="O28" i="107" s="1"/>
  <c r="P29" i="107" l="1"/>
  <c r="O29" i="107" s="1"/>
  <c r="R29" i="107"/>
  <c r="Q31" i="107" l="1"/>
  <c r="P30" i="107"/>
  <c r="O30" i="107" s="1"/>
  <c r="S30" i="107"/>
  <c r="R30" i="107" s="1"/>
  <c r="Q32" i="107" l="1"/>
  <c r="Q33" i="107" s="1"/>
  <c r="Q34" i="107" s="1"/>
  <c r="Q35" i="107" s="1"/>
  <c r="Q36" i="107" s="1"/>
  <c r="P31" i="107"/>
  <c r="O31" i="107" s="1"/>
  <c r="S31" i="107"/>
  <c r="R31" i="107" s="1"/>
  <c r="P32" i="107" l="1"/>
  <c r="O32" i="107" s="1"/>
  <c r="S32" i="107"/>
  <c r="R32" i="107" s="1"/>
  <c r="P33" i="107" l="1"/>
  <c r="O33" i="107" s="1"/>
  <c r="S33" i="107"/>
  <c r="R33" i="107" s="1"/>
  <c r="P34" i="107" l="1"/>
  <c r="O34" i="107" s="1"/>
  <c r="S34" i="107"/>
  <c r="R34" i="107" s="1"/>
  <c r="P35" i="107" l="1"/>
  <c r="O35" i="107" s="1"/>
  <c r="S35" i="107"/>
  <c r="R35" i="107" s="1"/>
  <c r="Q37" i="107" l="1"/>
  <c r="P36" i="107"/>
  <c r="O36" i="107" s="1"/>
  <c r="S36" i="107"/>
  <c r="R36" i="107" s="1"/>
  <c r="Q38" i="107" l="1"/>
  <c r="P37" i="107"/>
  <c r="O37" i="107" s="1"/>
  <c r="S37" i="107"/>
  <c r="R37" i="107" s="1"/>
  <c r="Q39" i="107" l="1"/>
  <c r="P38" i="107"/>
  <c r="O38" i="107" s="1"/>
  <c r="S38" i="107"/>
  <c r="R38" i="107" s="1"/>
  <c r="Q40" i="107" l="1"/>
  <c r="P39" i="107"/>
  <c r="O39" i="107" s="1"/>
  <c r="S39" i="107"/>
  <c r="R39" i="107" s="1"/>
  <c r="P40" i="107" l="1"/>
  <c r="O40" i="107" s="1"/>
  <c r="Q41" i="107"/>
  <c r="S40" i="107"/>
  <c r="R40" i="107" s="1"/>
  <c r="G52" i="109" l="1"/>
  <c r="Q7" i="109" s="1"/>
  <c r="Q8" i="109" s="1"/>
  <c r="Q9" i="109" s="1"/>
  <c r="S41" i="107"/>
  <c r="P41" i="107"/>
  <c r="O41" i="107" s="1"/>
  <c r="R41" i="107"/>
  <c r="P7" i="109" l="1"/>
  <c r="O7" i="109" s="1"/>
  <c r="S7" i="109"/>
  <c r="R7" i="109" s="1"/>
  <c r="S8" i="109"/>
  <c r="R8" i="109" s="1"/>
  <c r="P8" i="109"/>
  <c r="O8" i="109" s="1"/>
  <c r="P9" i="109" l="1"/>
  <c r="O9" i="109" s="1"/>
  <c r="Q10" i="109"/>
  <c r="S10" i="109" s="1"/>
  <c r="R10" i="109" s="1"/>
  <c r="S9" i="109"/>
  <c r="R9" i="109" s="1"/>
  <c r="Q11" i="109" l="1"/>
  <c r="Q12" i="109" s="1"/>
  <c r="Q13" i="109" s="1"/>
  <c r="Q14" i="109" s="1"/>
  <c r="Q15" i="109" s="1"/>
  <c r="Q16" i="109" s="1"/>
  <c r="P10" i="109"/>
  <c r="O10" i="109" s="1"/>
  <c r="P11" i="109" l="1"/>
  <c r="O11" i="109" s="1"/>
  <c r="S11" i="109"/>
  <c r="R11" i="109" s="1"/>
  <c r="S12" i="109" l="1"/>
  <c r="R12" i="109" s="1"/>
  <c r="P12" i="109"/>
  <c r="O12" i="109" s="1"/>
  <c r="P13" i="109" l="1"/>
  <c r="O13" i="109" s="1"/>
  <c r="S14" i="109"/>
  <c r="R14" i="109" s="1"/>
  <c r="S13" i="109"/>
  <c r="R13" i="109" s="1"/>
  <c r="P14" i="109" l="1"/>
  <c r="O14" i="109" s="1"/>
  <c r="S16" i="109" l="1"/>
  <c r="R16" i="109" s="1"/>
  <c r="P15" i="109"/>
  <c r="O15" i="109" s="1"/>
  <c r="S15" i="109"/>
  <c r="R15" i="109" s="1"/>
  <c r="Q17" i="109" l="1"/>
  <c r="P16" i="109"/>
  <c r="O16" i="109" s="1"/>
  <c r="Q18" i="109" l="1"/>
  <c r="Q19" i="109" s="1"/>
  <c r="Q20" i="109" s="1"/>
  <c r="P17" i="109"/>
  <c r="O17" i="109" s="1"/>
  <c r="S17" i="109"/>
  <c r="R17" i="109" s="1"/>
  <c r="P18" i="109" l="1"/>
  <c r="O18" i="109" s="1"/>
  <c r="S18" i="109"/>
  <c r="R18" i="109" s="1"/>
  <c r="P19" i="109" l="1"/>
  <c r="O19" i="109" s="1"/>
  <c r="S19" i="109"/>
  <c r="R19" i="109" s="1"/>
  <c r="P20" i="109" l="1"/>
  <c r="O20" i="109" s="1"/>
  <c r="Q21" i="109"/>
  <c r="S20" i="109"/>
  <c r="R20" i="109" s="1"/>
  <c r="P21" i="109" l="1"/>
  <c r="O21" i="109" s="1"/>
  <c r="Q22" i="109"/>
  <c r="Q23" i="109" s="1"/>
  <c r="S21" i="109"/>
  <c r="R21" i="109" s="1"/>
  <c r="P22" i="109" l="1"/>
  <c r="O22" i="109" s="1"/>
  <c r="S22" i="109"/>
  <c r="R22" i="109" s="1"/>
  <c r="Q24" i="109" l="1"/>
  <c r="P23" i="109"/>
  <c r="O23" i="109" s="1"/>
  <c r="S23" i="109"/>
  <c r="R23" i="109" s="1"/>
  <c r="Q25" i="109" l="1"/>
  <c r="Q26" i="109" s="1"/>
  <c r="Q27" i="109" s="1"/>
  <c r="Q28" i="109" s="1"/>
  <c r="Q29" i="109" s="1"/>
  <c r="Q30" i="109" s="1"/>
  <c r="P24" i="109"/>
  <c r="O24" i="109" s="1"/>
  <c r="S24" i="109"/>
  <c r="R24" i="109" s="1"/>
  <c r="P25" i="109" l="1"/>
  <c r="O25" i="109" s="1"/>
  <c r="S25" i="109"/>
  <c r="R25" i="109" s="1"/>
  <c r="P26" i="109" l="1"/>
  <c r="O26" i="109" s="1"/>
  <c r="S26" i="109"/>
  <c r="R26" i="109" s="1"/>
  <c r="P27" i="109" l="1"/>
  <c r="O27" i="109" s="1"/>
  <c r="S27" i="109"/>
  <c r="R27" i="109" s="1"/>
  <c r="P28" i="109" l="1"/>
  <c r="O28" i="109" s="1"/>
  <c r="S28" i="109"/>
  <c r="R28" i="109" s="1"/>
  <c r="P29" i="109" l="1"/>
  <c r="O29" i="109" s="1"/>
  <c r="S29" i="109"/>
  <c r="R29" i="109" s="1"/>
  <c r="Q31" i="109" l="1"/>
  <c r="P30" i="109"/>
  <c r="O30" i="109" s="1"/>
  <c r="S30" i="109"/>
  <c r="R30" i="109" s="1"/>
  <c r="P31" i="109" l="1"/>
  <c r="O31" i="109" s="1"/>
  <c r="Q32" i="109"/>
  <c r="Q33" i="109" s="1"/>
  <c r="Q34" i="109" s="1"/>
  <c r="S31" i="109"/>
  <c r="R31" i="109" s="1"/>
  <c r="P32" i="109" l="1"/>
  <c r="O32" i="109" s="1"/>
  <c r="S32" i="109"/>
  <c r="R32" i="109" s="1"/>
  <c r="P33" i="109" l="1"/>
  <c r="O33" i="109" s="1"/>
  <c r="S33" i="109"/>
  <c r="R33" i="109" s="1"/>
  <c r="P34" i="109" l="1"/>
  <c r="O34" i="109" s="1"/>
  <c r="Q35" i="109"/>
  <c r="Q36" i="109" s="1"/>
  <c r="S34" i="109"/>
  <c r="R34" i="109" s="1"/>
  <c r="P35" i="109" l="1"/>
  <c r="O35" i="109" s="1"/>
  <c r="S35" i="109"/>
  <c r="R35" i="109" s="1"/>
  <c r="Q37" i="109" l="1"/>
  <c r="P36" i="109"/>
  <c r="O36" i="109" s="1"/>
  <c r="S36" i="109"/>
  <c r="R36" i="109" s="1"/>
  <c r="Q38" i="109" l="1"/>
  <c r="P37" i="109"/>
  <c r="O37" i="109" s="1"/>
  <c r="S37" i="109"/>
  <c r="R37" i="109" s="1"/>
  <c r="Q39" i="109" l="1"/>
  <c r="Q40" i="109" s="1"/>
  <c r="Q41" i="109" s="1"/>
  <c r="P38" i="109"/>
  <c r="O38" i="109" s="1"/>
  <c r="S38" i="109"/>
  <c r="R38" i="109" s="1"/>
  <c r="P39" i="109" l="1"/>
  <c r="O39" i="109" s="1"/>
  <c r="S39" i="109"/>
  <c r="R39" i="109" s="1"/>
  <c r="P40" i="109" l="1"/>
  <c r="O40" i="109" s="1"/>
  <c r="S40" i="109"/>
  <c r="R40" i="109" s="1"/>
  <c r="Q42" i="109" l="1"/>
  <c r="P41" i="109"/>
  <c r="O41" i="109" s="1"/>
  <c r="S41" i="109"/>
  <c r="R41" i="109" s="1"/>
  <c r="Q43" i="109" l="1"/>
  <c r="P42" i="109"/>
  <c r="O42" i="109" s="1"/>
  <c r="S42" i="109"/>
  <c r="R42" i="109" s="1"/>
  <c r="Q44" i="109" l="1"/>
  <c r="Q45" i="109" s="1"/>
  <c r="Q46" i="109" s="1"/>
  <c r="Q47" i="109" s="1"/>
  <c r="P43" i="109"/>
  <c r="O43" i="109" s="1"/>
  <c r="S43" i="109"/>
  <c r="R43" i="109" s="1"/>
  <c r="P44" i="109" l="1"/>
  <c r="O44" i="109" s="1"/>
  <c r="S44" i="109"/>
  <c r="R44" i="109" s="1"/>
  <c r="P45" i="109" l="1"/>
  <c r="O45" i="109" s="1"/>
  <c r="S45" i="109"/>
  <c r="R45" i="109" s="1"/>
  <c r="P46" i="109" l="1"/>
  <c r="O46" i="109" s="1"/>
  <c r="S46" i="109"/>
  <c r="R46" i="109" s="1"/>
  <c r="Q48" i="109" l="1"/>
  <c r="G67" i="110" s="1"/>
  <c r="Q7" i="110" s="1"/>
  <c r="P47" i="109"/>
  <c r="O47" i="109" s="1"/>
  <c r="S47" i="109"/>
  <c r="R47" i="109" s="1"/>
  <c r="Q8" i="110" l="1"/>
  <c r="P7" i="110"/>
  <c r="O7" i="110" s="1"/>
  <c r="S7" i="110"/>
  <c r="R7" i="110" s="1"/>
  <c r="P48" i="109"/>
  <c r="O48" i="109" s="1"/>
  <c r="R48" i="109"/>
  <c r="S8" i="110" l="1"/>
  <c r="R8" i="110" s="1"/>
  <c r="Q9" i="110"/>
  <c r="P8" i="110"/>
  <c r="O8" i="110" s="1"/>
  <c r="S9" i="110" l="1"/>
  <c r="R9" i="110" s="1"/>
  <c r="Q10" i="110"/>
  <c r="P9" i="110"/>
  <c r="O9" i="110" s="1"/>
  <c r="S10" i="110" l="1"/>
  <c r="R10" i="110" s="1"/>
  <c r="Q11" i="110"/>
  <c r="S11" i="110" s="1"/>
  <c r="P10" i="110"/>
  <c r="O10" i="110" s="1"/>
  <c r="R11" i="110" l="1"/>
  <c r="Q12" i="110"/>
  <c r="P11" i="110"/>
  <c r="O11" i="110" s="1"/>
  <c r="S12" i="110" l="1"/>
  <c r="R12" i="110" s="1"/>
  <c r="Q13" i="110"/>
  <c r="S13" i="110" s="1"/>
  <c r="P12" i="110"/>
  <c r="O12" i="110" s="1"/>
  <c r="Q14" i="110" l="1"/>
  <c r="Q15" i="110" s="1"/>
  <c r="Q16" i="110" s="1"/>
  <c r="P13" i="110"/>
  <c r="O13" i="110" s="1"/>
  <c r="R13" i="110"/>
  <c r="S15" i="110" l="1"/>
  <c r="S14" i="110"/>
  <c r="P14" i="110"/>
  <c r="O14" i="110" s="1"/>
  <c r="R14" i="110"/>
  <c r="S16" i="110" l="1"/>
  <c r="R16" i="110" s="1"/>
  <c r="P15" i="110"/>
  <c r="O15" i="110" s="1"/>
  <c r="R15" i="110"/>
  <c r="Q17" i="110" l="1"/>
  <c r="P16" i="110"/>
  <c r="O16" i="110" s="1"/>
  <c r="Q18" i="110" l="1"/>
  <c r="S18" i="110" s="1"/>
  <c r="P17" i="110"/>
  <c r="O17" i="110" s="1"/>
  <c r="S17" i="110"/>
  <c r="R17" i="110" s="1"/>
  <c r="P18" i="110" l="1"/>
  <c r="O18" i="110" s="1"/>
  <c r="Q19" i="110"/>
  <c r="S19" i="110" s="1"/>
  <c r="R18" i="110"/>
  <c r="P19" i="110" l="1"/>
  <c r="O19" i="110" s="1"/>
  <c r="Q20" i="110"/>
  <c r="S20" i="110" s="1"/>
  <c r="R19" i="110"/>
  <c r="P20" i="110" l="1"/>
  <c r="O20" i="110" s="1"/>
  <c r="Q21" i="110"/>
  <c r="Q22" i="110" s="1"/>
  <c r="Q23" i="110" s="1"/>
  <c r="R20" i="110"/>
  <c r="S22" i="110" l="1"/>
  <c r="S21" i="110"/>
  <c r="R21" i="110" s="1"/>
  <c r="P21" i="110"/>
  <c r="O21" i="110" s="1"/>
  <c r="P22" i="110" l="1"/>
  <c r="O22" i="110" s="1"/>
  <c r="R22" i="110"/>
  <c r="Q24" i="110" l="1"/>
  <c r="P23" i="110"/>
  <c r="O23" i="110" s="1"/>
  <c r="S23" i="110"/>
  <c r="R23" i="110" s="1"/>
  <c r="Q25" i="110" l="1"/>
  <c r="P24" i="110"/>
  <c r="O24" i="110" s="1"/>
  <c r="S24" i="110"/>
  <c r="R24" i="110" s="1"/>
  <c r="Q26" i="110" l="1"/>
  <c r="P25" i="110"/>
  <c r="O25" i="110" s="1"/>
  <c r="S25" i="110"/>
  <c r="R25" i="110" s="1"/>
  <c r="Q27" i="110" l="1"/>
  <c r="Q28" i="110" s="1"/>
  <c r="Q29" i="110" s="1"/>
  <c r="Q30" i="110" s="1"/>
  <c r="P26" i="110"/>
  <c r="O26" i="110" s="1"/>
  <c r="S26" i="110"/>
  <c r="R26" i="110" s="1"/>
  <c r="P27" i="110" l="1"/>
  <c r="O27" i="110" s="1"/>
  <c r="S27" i="110"/>
  <c r="R27" i="110" s="1"/>
  <c r="P28" i="110" l="1"/>
  <c r="O28" i="110" s="1"/>
  <c r="S28" i="110"/>
  <c r="R28" i="110" s="1"/>
  <c r="P29" i="110" l="1"/>
  <c r="O29" i="110" s="1"/>
  <c r="S29" i="110"/>
  <c r="R29" i="110" s="1"/>
  <c r="Q31" i="110" l="1"/>
  <c r="P30" i="110"/>
  <c r="O30" i="110" s="1"/>
  <c r="S30" i="110"/>
  <c r="R30" i="110" s="1"/>
  <c r="Q32" i="110" l="1"/>
  <c r="Q33" i="110" s="1"/>
  <c r="Q34" i="110" s="1"/>
  <c r="P31" i="110"/>
  <c r="O31" i="110" s="1"/>
  <c r="S31" i="110"/>
  <c r="R31" i="110" s="1"/>
  <c r="P32" i="110" l="1"/>
  <c r="O32" i="110" s="1"/>
  <c r="S32" i="110"/>
  <c r="R32" i="110" s="1"/>
  <c r="P33" i="110" l="1"/>
  <c r="O33" i="110" s="1"/>
  <c r="S33" i="110"/>
  <c r="R33" i="110" s="1"/>
  <c r="Q35" i="110" l="1"/>
  <c r="P34" i="110"/>
  <c r="O34" i="110" s="1"/>
  <c r="S34" i="110"/>
  <c r="R34" i="110" s="1"/>
  <c r="Q36" i="110" l="1"/>
  <c r="Q37" i="110" s="1"/>
  <c r="P35" i="110"/>
  <c r="O35" i="110" s="1"/>
  <c r="S35" i="110"/>
  <c r="R35" i="110" s="1"/>
  <c r="P36" i="110" l="1"/>
  <c r="O36" i="110" s="1"/>
  <c r="S36" i="110"/>
  <c r="R36" i="110" s="1"/>
  <c r="P37" i="110" l="1"/>
  <c r="O37" i="110" s="1"/>
  <c r="Q38" i="110"/>
  <c r="S37" i="110"/>
  <c r="R37" i="110" s="1"/>
  <c r="P38" i="110" l="1"/>
  <c r="O38" i="110" s="1"/>
  <c r="Q39" i="110"/>
  <c r="Q40" i="110" s="1"/>
  <c r="Q41" i="110" s="1"/>
  <c r="S38" i="110"/>
  <c r="R38" i="110" s="1"/>
  <c r="P39" i="110" l="1"/>
  <c r="O39" i="110" s="1"/>
  <c r="S39" i="110"/>
  <c r="R39" i="110" s="1"/>
  <c r="Q42" i="110" l="1"/>
  <c r="Q43" i="110" s="1"/>
  <c r="Q44" i="110" s="1"/>
  <c r="P40" i="110"/>
  <c r="O40" i="110" s="1"/>
  <c r="S40" i="110"/>
  <c r="R40" i="110" s="1"/>
  <c r="P41" i="110" l="1"/>
  <c r="O41" i="110" s="1"/>
  <c r="S41" i="110"/>
  <c r="R41" i="110" s="1"/>
  <c r="P42" i="110" l="1"/>
  <c r="O42" i="110" s="1"/>
  <c r="S42" i="110"/>
  <c r="R42" i="110" s="1"/>
  <c r="P43" i="110" l="1"/>
  <c r="O43" i="110" s="1"/>
  <c r="S43" i="110"/>
  <c r="R43" i="110" s="1"/>
  <c r="Q45" i="110" l="1"/>
  <c r="P44" i="110"/>
  <c r="O44" i="110" s="1"/>
  <c r="S44" i="110"/>
  <c r="R44" i="110" s="1"/>
  <c r="P45" i="110" l="1"/>
  <c r="O45" i="110" s="1"/>
  <c r="Q46" i="110"/>
  <c r="S45" i="110"/>
  <c r="R45" i="110" s="1"/>
  <c r="Q47" i="110" l="1"/>
  <c r="S46" i="110"/>
  <c r="R46" i="110" s="1"/>
  <c r="P46" i="110"/>
  <c r="O46" i="110" s="1"/>
  <c r="Q48" i="110" l="1"/>
  <c r="S47" i="110"/>
  <c r="R47" i="110" s="1"/>
  <c r="P47" i="110"/>
  <c r="O47" i="110" s="1"/>
  <c r="Q49" i="110" l="1"/>
  <c r="Q50" i="110" s="1"/>
  <c r="S50" i="110" s="1"/>
  <c r="S48" i="110"/>
  <c r="S49" i="110"/>
  <c r="P48" i="110"/>
  <c r="O48" i="110" s="1"/>
  <c r="R48" i="110"/>
  <c r="P49" i="110" l="1"/>
  <c r="O49" i="110" s="1"/>
  <c r="R49" i="110"/>
  <c r="Q51" i="110" l="1"/>
  <c r="Q52" i="110" s="1"/>
  <c r="Q53" i="110" s="1"/>
  <c r="Q54" i="110" s="1"/>
  <c r="Q55" i="110" s="1"/>
  <c r="Q56" i="110" s="1"/>
  <c r="P50" i="110"/>
  <c r="O50" i="110" s="1"/>
  <c r="R50" i="110"/>
  <c r="Q57" i="110" l="1"/>
  <c r="S56" i="110"/>
  <c r="P51" i="110"/>
  <c r="O51" i="110" s="1"/>
  <c r="S51" i="110"/>
  <c r="R51" i="110" s="1"/>
  <c r="Q58" i="110" l="1"/>
  <c r="Q59" i="110" s="1"/>
  <c r="S57" i="110"/>
  <c r="P52" i="110"/>
  <c r="O52" i="110" s="1"/>
  <c r="S52" i="110"/>
  <c r="R52" i="110" s="1"/>
  <c r="Q60" i="110" l="1"/>
  <c r="Q61" i="110" s="1"/>
  <c r="P53" i="110"/>
  <c r="O53" i="110" s="1"/>
  <c r="S53" i="110"/>
  <c r="R53" i="110" s="1"/>
  <c r="Q62" i="110" l="1"/>
  <c r="S61" i="110"/>
  <c r="R61" i="110" s="1"/>
  <c r="P54" i="110"/>
  <c r="O54" i="110" s="1"/>
  <c r="S54" i="110"/>
  <c r="R54" i="110" s="1"/>
  <c r="S62" i="110" l="1"/>
  <c r="R62" i="110" s="1"/>
  <c r="G60" i="111"/>
  <c r="Q7" i="111" s="1"/>
  <c r="P55" i="110"/>
  <c r="O55" i="110" s="1"/>
  <c r="S55" i="110"/>
  <c r="R55" i="110" s="1"/>
  <c r="Q8" i="111" l="1"/>
  <c r="S8" i="111" s="1"/>
  <c r="R8" i="111" s="1"/>
  <c r="P7" i="111"/>
  <c r="O7" i="111" s="1"/>
  <c r="S7" i="111"/>
  <c r="R7" i="111" s="1"/>
  <c r="P56" i="110"/>
  <c r="O56" i="110" s="1"/>
  <c r="R56" i="110"/>
  <c r="Q9" i="111" l="1"/>
  <c r="P8" i="111"/>
  <c r="O8" i="111" s="1"/>
  <c r="P57" i="110"/>
  <c r="O57" i="110" s="1"/>
  <c r="R57" i="110"/>
  <c r="P9" i="111" l="1"/>
  <c r="O9" i="111" s="1"/>
  <c r="Q10" i="111"/>
  <c r="S9" i="111"/>
  <c r="R9" i="111" s="1"/>
  <c r="P58" i="110"/>
  <c r="O58" i="110" s="1"/>
  <c r="S58" i="110"/>
  <c r="R58" i="110" s="1"/>
  <c r="Q11" i="111" l="1"/>
  <c r="P10" i="111"/>
  <c r="O10" i="111" s="1"/>
  <c r="S10" i="111"/>
  <c r="R10" i="111" s="1"/>
  <c r="P59" i="110"/>
  <c r="O59" i="110" s="1"/>
  <c r="S59" i="110"/>
  <c r="R59" i="110" s="1"/>
  <c r="Q12" i="111" l="1"/>
  <c r="S11" i="111"/>
  <c r="R11" i="111" s="1"/>
  <c r="P11" i="111"/>
  <c r="O11" i="111" s="1"/>
  <c r="P60" i="110"/>
  <c r="S60" i="110"/>
  <c r="R60" i="110" s="1"/>
  <c r="O60" i="110" l="1"/>
  <c r="P61" i="110"/>
  <c r="Q13" i="111"/>
  <c r="S12" i="111"/>
  <c r="R12" i="111" s="1"/>
  <c r="P12" i="111"/>
  <c r="O12" i="111" s="1"/>
  <c r="O61" i="110" l="1"/>
  <c r="P62" i="110"/>
  <c r="O62" i="110" s="1"/>
  <c r="P13" i="111"/>
  <c r="O13" i="111" s="1"/>
  <c r="S13" i="111"/>
  <c r="R13" i="111" s="1"/>
  <c r="Q14" i="111"/>
  <c r="Q15" i="111" l="1"/>
  <c r="P14" i="111"/>
  <c r="O14" i="111" s="1"/>
  <c r="S14" i="111"/>
  <c r="R14" i="111" s="1"/>
  <c r="Q16" i="111" l="1"/>
  <c r="P15" i="111"/>
  <c r="O15" i="111" s="1"/>
  <c r="S15" i="111"/>
  <c r="R15" i="111" s="1"/>
  <c r="P16" i="111" l="1"/>
  <c r="O16" i="111" s="1"/>
  <c r="Q17" i="111"/>
  <c r="S16" i="111"/>
  <c r="R16" i="111" s="1"/>
  <c r="P17" i="111" l="1"/>
  <c r="O17" i="111" s="1"/>
  <c r="Q18" i="111"/>
  <c r="S17" i="111"/>
  <c r="R17" i="111" s="1"/>
  <c r="Q19" i="111" l="1"/>
  <c r="P18" i="111"/>
  <c r="O18" i="111" s="1"/>
  <c r="S18" i="111"/>
  <c r="R18" i="111" s="1"/>
  <c r="S19" i="111" l="1"/>
  <c r="R19" i="111" s="1"/>
  <c r="P19" i="111"/>
  <c r="O19" i="111" s="1"/>
  <c r="Q20" i="111"/>
  <c r="P20" i="111" l="1"/>
  <c r="O20" i="111" s="1"/>
  <c r="Q21" i="111"/>
  <c r="S20" i="111"/>
  <c r="R20" i="111" s="1"/>
  <c r="Q22" i="111" l="1"/>
  <c r="P21" i="111"/>
  <c r="O21" i="111" s="1"/>
  <c r="S21" i="111"/>
  <c r="R21" i="111" s="1"/>
  <c r="Q23" i="111" l="1"/>
  <c r="P22" i="111"/>
  <c r="O22" i="111" s="1"/>
  <c r="S22" i="111"/>
  <c r="R22" i="111" s="1"/>
  <c r="P23" i="111" l="1"/>
  <c r="O23" i="111" s="1"/>
  <c r="Q24" i="111"/>
  <c r="S23" i="111"/>
  <c r="R23" i="111" s="1"/>
  <c r="Q25" i="111" l="1"/>
  <c r="P24" i="111"/>
  <c r="O24" i="111" s="1"/>
  <c r="S24" i="111"/>
  <c r="R24" i="111" s="1"/>
  <c r="Q26" i="111" l="1"/>
  <c r="S25" i="111"/>
  <c r="R25" i="111" s="1"/>
  <c r="P25" i="111"/>
  <c r="O25" i="111" s="1"/>
  <c r="Q27" i="111" l="1"/>
  <c r="P26" i="111"/>
  <c r="O26" i="111" s="1"/>
  <c r="S26" i="111"/>
  <c r="R26" i="111" s="1"/>
  <c r="Q28" i="111" l="1"/>
  <c r="P27" i="111"/>
  <c r="O27" i="111" s="1"/>
  <c r="S27" i="111"/>
  <c r="R27" i="111" s="1"/>
  <c r="Q29" i="111" l="1"/>
  <c r="S28" i="111"/>
  <c r="R28" i="111" s="1"/>
  <c r="P28" i="111"/>
  <c r="O28" i="111" s="1"/>
  <c r="Q30" i="111" l="1"/>
  <c r="S29" i="111"/>
  <c r="R29" i="111" s="1"/>
  <c r="P29" i="111"/>
  <c r="O29" i="111" s="1"/>
  <c r="Q31" i="111" l="1"/>
  <c r="P30" i="111"/>
  <c r="O30" i="111" s="1"/>
  <c r="S30" i="111"/>
  <c r="R30" i="111" s="1"/>
  <c r="Q32" i="111" l="1"/>
  <c r="S31" i="111"/>
  <c r="R31" i="111" s="1"/>
  <c r="P31" i="111"/>
  <c r="O31" i="111" s="1"/>
  <c r="Q33" i="111" l="1"/>
  <c r="S32" i="111"/>
  <c r="R32" i="111" s="1"/>
  <c r="P32" i="111"/>
  <c r="O32" i="111" s="1"/>
  <c r="Q34" i="111" l="1"/>
  <c r="S33" i="111"/>
  <c r="R33" i="111" s="1"/>
  <c r="P33" i="111"/>
  <c r="O33" i="111" s="1"/>
  <c r="Q35" i="111" l="1"/>
  <c r="S34" i="111"/>
  <c r="R34" i="111" s="1"/>
  <c r="P34" i="111"/>
  <c r="O34" i="111" s="1"/>
  <c r="Q36" i="111" l="1"/>
  <c r="P35" i="111"/>
  <c r="O35" i="111" s="1"/>
  <c r="S35" i="111"/>
  <c r="R35" i="111" s="1"/>
  <c r="Q37" i="111" l="1"/>
  <c r="P36" i="111"/>
  <c r="O36" i="111" s="1"/>
  <c r="S36" i="111"/>
  <c r="R36" i="111" s="1"/>
  <c r="Q38" i="111" l="1"/>
  <c r="P37" i="111"/>
  <c r="O37" i="111" s="1"/>
  <c r="S37" i="111"/>
  <c r="R37" i="111" s="1"/>
  <c r="Q39" i="111" l="1"/>
  <c r="P38" i="111"/>
  <c r="O38" i="111" s="1"/>
  <c r="S38" i="111"/>
  <c r="R38" i="111" s="1"/>
  <c r="Q40" i="111" l="1"/>
  <c r="P39" i="111"/>
  <c r="O39" i="111" s="1"/>
  <c r="S39" i="111"/>
  <c r="R39" i="111" s="1"/>
  <c r="Q41" i="111" l="1"/>
  <c r="P40" i="111"/>
  <c r="O40" i="111" s="1"/>
  <c r="S40" i="111"/>
  <c r="R40" i="111" s="1"/>
  <c r="Q42" i="111" l="1"/>
  <c r="P41" i="111"/>
  <c r="O41" i="111" s="1"/>
  <c r="S41" i="111"/>
  <c r="R41" i="111" s="1"/>
  <c r="Q43" i="111" l="1"/>
  <c r="S42" i="111"/>
  <c r="R42" i="111" s="1"/>
  <c r="P42" i="111"/>
  <c r="O42" i="111" s="1"/>
  <c r="Q44" i="111" l="1"/>
  <c r="S43" i="111"/>
  <c r="R43" i="111" s="1"/>
  <c r="P43" i="111"/>
  <c r="O43" i="111" s="1"/>
  <c r="Q45" i="111" l="1"/>
  <c r="P44" i="111"/>
  <c r="O44" i="111" s="1"/>
  <c r="S44" i="111"/>
  <c r="R44" i="111" s="1"/>
  <c r="Q46" i="111" l="1"/>
  <c r="S45" i="111"/>
  <c r="R45" i="111" s="1"/>
  <c r="P45" i="111"/>
  <c r="O45" i="111" s="1"/>
  <c r="Q47" i="111" l="1"/>
  <c r="S46" i="111"/>
  <c r="R46" i="111" s="1"/>
  <c r="P46" i="111"/>
  <c r="O46" i="111" s="1"/>
  <c r="Q48" i="111" l="1"/>
  <c r="S47" i="111"/>
  <c r="R47" i="111" s="1"/>
  <c r="P47" i="111"/>
  <c r="O47" i="111" s="1"/>
  <c r="Q49" i="111" l="1"/>
  <c r="P48" i="111"/>
  <c r="O48" i="111" s="1"/>
  <c r="S48" i="111"/>
  <c r="R48" i="111" s="1"/>
  <c r="Q50" i="111" l="1"/>
  <c r="S49" i="111"/>
  <c r="R49" i="111" s="1"/>
  <c r="P49" i="111"/>
  <c r="O49" i="111" s="1"/>
  <c r="Q51" i="111" l="1"/>
  <c r="P50" i="111"/>
  <c r="O50" i="111" s="1"/>
  <c r="S50" i="111"/>
  <c r="R50" i="111" s="1"/>
  <c r="Q52" i="111" l="1"/>
  <c r="S51" i="111"/>
  <c r="R51" i="111" s="1"/>
  <c r="P51" i="111"/>
  <c r="O51" i="111" s="1"/>
  <c r="Q53" i="111" l="1"/>
  <c r="P52" i="111"/>
  <c r="O52" i="111" s="1"/>
  <c r="S52" i="111"/>
  <c r="R52" i="111" s="1"/>
  <c r="Q54" i="111" l="1"/>
  <c r="S53" i="111"/>
  <c r="R53" i="111" s="1"/>
  <c r="P53" i="111"/>
  <c r="O53" i="111" s="1"/>
  <c r="Q55" i="111" l="1"/>
  <c r="P54" i="111"/>
  <c r="O54" i="111" s="1"/>
  <c r="S54" i="111"/>
  <c r="R54" i="111" s="1"/>
  <c r="S55" i="111" l="1"/>
  <c r="R55" i="111" s="1"/>
  <c r="G53" i="112"/>
  <c r="Q7" i="112" s="1"/>
  <c r="P55" i="111"/>
  <c r="O55" i="111" s="1"/>
  <c r="S7" i="112" l="1"/>
  <c r="R7" i="112" s="1"/>
  <c r="P7" i="112"/>
  <c r="O7" i="112" s="1"/>
  <c r="Q8" i="112"/>
  <c r="S8" i="112" s="1"/>
  <c r="R8" i="112" s="1"/>
  <c r="Q9" i="112" l="1"/>
  <c r="P8" i="112"/>
  <c r="O8" i="112" s="1"/>
  <c r="Q10" i="112" l="1"/>
  <c r="P9" i="112"/>
  <c r="O9" i="112" s="1"/>
  <c r="S10" i="112"/>
  <c r="R10" i="112" s="1"/>
  <c r="S9" i="112"/>
  <c r="R9" i="112" s="1"/>
  <c r="P10" i="112" l="1"/>
  <c r="O10" i="112" s="1"/>
  <c r="Q11" i="112"/>
  <c r="P11" i="112" l="1"/>
  <c r="O11" i="112" s="1"/>
  <c r="Q12" i="112"/>
  <c r="S11" i="112"/>
  <c r="R11" i="112" s="1"/>
  <c r="Q13" i="112" l="1"/>
  <c r="P12" i="112"/>
  <c r="O12" i="112" s="1"/>
  <c r="S12" i="112"/>
  <c r="R12" i="112" s="1"/>
  <c r="Q14" i="112" l="1"/>
  <c r="P13" i="112"/>
  <c r="O13" i="112" s="1"/>
  <c r="S14" i="112"/>
  <c r="R14" i="112" s="1"/>
  <c r="S13" i="112"/>
  <c r="R13" i="112" s="1"/>
  <c r="Q15" i="112" l="1"/>
  <c r="P14" i="112"/>
  <c r="O14" i="112" s="1"/>
  <c r="P15" i="112" l="1"/>
  <c r="O15" i="112" s="1"/>
  <c r="Q16" i="112"/>
  <c r="S16" i="112"/>
  <c r="R16" i="112" s="1"/>
  <c r="S15" i="112"/>
  <c r="R15" i="112" s="1"/>
  <c r="P16" i="112" l="1"/>
  <c r="O16" i="112" s="1"/>
  <c r="Q17" i="112"/>
  <c r="P17" i="112" l="1"/>
  <c r="O17" i="112" s="1"/>
  <c r="Q18" i="112"/>
  <c r="S17" i="112"/>
  <c r="R17" i="112" s="1"/>
  <c r="P18" i="112" l="1"/>
  <c r="O18" i="112" s="1"/>
  <c r="Q19" i="112"/>
  <c r="S18" i="112"/>
  <c r="R18" i="112" s="1"/>
  <c r="P19" i="112" l="1"/>
  <c r="O19" i="112" s="1"/>
  <c r="Q20" i="112"/>
  <c r="S19" i="112"/>
  <c r="R19" i="112" s="1"/>
  <c r="Q21" i="112" l="1"/>
  <c r="P20" i="112"/>
  <c r="O20" i="112" s="1"/>
  <c r="S20" i="112"/>
  <c r="R20" i="112" s="1"/>
  <c r="P21" i="112" l="1"/>
  <c r="O21" i="112" s="1"/>
  <c r="Q22" i="112"/>
  <c r="S21" i="112"/>
  <c r="R21" i="112" s="1"/>
  <c r="P22" i="112" l="1"/>
  <c r="O22" i="112" s="1"/>
  <c r="Q23" i="112"/>
  <c r="S22" i="112"/>
  <c r="R22" i="112" s="1"/>
  <c r="Q24" i="112" l="1"/>
  <c r="P23" i="112"/>
  <c r="O23" i="112" s="1"/>
  <c r="S23" i="112"/>
  <c r="R23" i="112" s="1"/>
  <c r="P24" i="112" l="1"/>
  <c r="O24" i="112" s="1"/>
  <c r="Q25" i="112"/>
  <c r="S24" i="112"/>
  <c r="R24" i="112" s="1"/>
  <c r="P25" i="112" l="1"/>
  <c r="O25" i="112" s="1"/>
  <c r="Q26" i="112"/>
  <c r="S25" i="112"/>
  <c r="R25" i="112" s="1"/>
  <c r="Q27" i="112" l="1"/>
  <c r="P26" i="112"/>
  <c r="O26" i="112" s="1"/>
  <c r="S26" i="112"/>
  <c r="R26" i="112" s="1"/>
  <c r="P27" i="112" l="1"/>
  <c r="O27" i="112" s="1"/>
  <c r="Q28" i="112"/>
  <c r="S27" i="112"/>
  <c r="R27" i="112" s="1"/>
  <c r="P28" i="112" l="1"/>
  <c r="O28" i="112" s="1"/>
  <c r="Q29" i="112"/>
  <c r="S28" i="112"/>
  <c r="R28" i="112" s="1"/>
  <c r="P29" i="112" l="1"/>
  <c r="O29" i="112" s="1"/>
  <c r="Q30" i="112"/>
  <c r="S29" i="112"/>
  <c r="R29" i="112" s="1"/>
  <c r="Q31" i="112" l="1"/>
  <c r="P30" i="112"/>
  <c r="O30" i="112" s="1"/>
  <c r="S30" i="112"/>
  <c r="R30" i="112" s="1"/>
  <c r="P31" i="112" l="1"/>
  <c r="O31" i="112" s="1"/>
  <c r="Q32" i="112"/>
  <c r="S31" i="112"/>
  <c r="R31" i="112" s="1"/>
  <c r="Q33" i="112" l="1"/>
  <c r="P32" i="112"/>
  <c r="O32" i="112" s="1"/>
  <c r="S32" i="112"/>
  <c r="R32" i="112" s="1"/>
  <c r="Q34" i="112" l="1"/>
  <c r="P33" i="112"/>
  <c r="O33" i="112" s="1"/>
  <c r="S33" i="112"/>
  <c r="R33" i="112" s="1"/>
  <c r="Q35" i="112" l="1"/>
  <c r="P34" i="112"/>
  <c r="O34" i="112" s="1"/>
  <c r="S34" i="112"/>
  <c r="R34" i="112" s="1"/>
  <c r="Q36" i="112" l="1"/>
  <c r="P35" i="112"/>
  <c r="O35" i="112" s="1"/>
  <c r="S35" i="112"/>
  <c r="R35" i="112" s="1"/>
  <c r="Q37" i="112" l="1"/>
  <c r="P36" i="112"/>
  <c r="O36" i="112" s="1"/>
  <c r="S36" i="112"/>
  <c r="R36" i="112" s="1"/>
  <c r="Q38" i="112" l="1"/>
  <c r="P37" i="112"/>
  <c r="O37" i="112" s="1"/>
  <c r="S37" i="112"/>
  <c r="R37" i="112" s="1"/>
  <c r="Q39" i="112" l="1"/>
  <c r="P38" i="112"/>
  <c r="O38" i="112" s="1"/>
  <c r="S38" i="112"/>
  <c r="R38" i="112" s="1"/>
  <c r="Q40" i="112" l="1"/>
  <c r="P39" i="112"/>
  <c r="O39" i="112" s="1"/>
  <c r="S39" i="112"/>
  <c r="R39" i="112" s="1"/>
  <c r="Q41" i="112" l="1"/>
  <c r="P40" i="112"/>
  <c r="O40" i="112" s="1"/>
  <c r="S40" i="112"/>
  <c r="R40" i="112" s="1"/>
  <c r="Q42" i="112" l="1"/>
  <c r="P41" i="112"/>
  <c r="O41" i="112" s="1"/>
  <c r="S41" i="112"/>
  <c r="R41" i="112" s="1"/>
  <c r="Q43" i="112" l="1"/>
  <c r="P42" i="112"/>
  <c r="O42" i="112" s="1"/>
  <c r="S42" i="112"/>
  <c r="R42" i="112" s="1"/>
  <c r="Q44" i="112" l="1"/>
  <c r="P43" i="112"/>
  <c r="O43" i="112" s="1"/>
  <c r="S43" i="112"/>
  <c r="R43" i="112" s="1"/>
  <c r="P44" i="112" l="1"/>
  <c r="O44" i="112" s="1"/>
  <c r="Q45" i="112"/>
  <c r="S44" i="112"/>
  <c r="R44" i="112" s="1"/>
  <c r="P45" i="112" l="1"/>
  <c r="O45" i="112" s="1"/>
  <c r="Q46" i="112"/>
  <c r="S45" i="112"/>
  <c r="R45" i="112" s="1"/>
  <c r="Q47" i="112" l="1"/>
  <c r="P46" i="112"/>
  <c r="O46" i="112" s="1"/>
  <c r="S46" i="112"/>
  <c r="R46" i="112" s="1"/>
  <c r="P47" i="112" l="1"/>
  <c r="O47" i="112" s="1"/>
  <c r="Q48" i="112"/>
  <c r="S47" i="112"/>
  <c r="R47" i="112" s="1"/>
  <c r="G53" i="113" l="1"/>
  <c r="Q7" i="113" s="1"/>
  <c r="P48" i="112"/>
  <c r="O48" i="112" s="1"/>
  <c r="S48" i="112"/>
  <c r="R48" i="112" s="1"/>
  <c r="P7" i="113" l="1"/>
  <c r="O7" i="113" s="1"/>
  <c r="Q8" i="113"/>
  <c r="S7" i="113"/>
  <c r="R7" i="113" s="1"/>
  <c r="S8" i="113" l="1"/>
  <c r="R8" i="113" s="1"/>
  <c r="P8" i="113"/>
  <c r="O8" i="113" s="1"/>
  <c r="Q9" i="113"/>
  <c r="Q10" i="113" l="1"/>
  <c r="P9" i="113"/>
  <c r="O9" i="113" s="1"/>
  <c r="S9" i="113"/>
  <c r="R9" i="113" s="1"/>
  <c r="S10" i="113"/>
  <c r="R10" i="113" s="1"/>
  <c r="Q11" i="113" l="1"/>
  <c r="P10" i="113"/>
  <c r="O10" i="113" s="1"/>
  <c r="P11" i="113" l="1"/>
  <c r="O11" i="113" s="1"/>
  <c r="Q12" i="113"/>
  <c r="S11" i="113"/>
  <c r="R11" i="113" s="1"/>
  <c r="S12" i="113"/>
  <c r="R12" i="113" s="1"/>
  <c r="P12" i="113" l="1"/>
  <c r="O12" i="113" s="1"/>
  <c r="Q13" i="113"/>
  <c r="Q14" i="113" l="1"/>
  <c r="P13" i="113"/>
  <c r="O13" i="113" s="1"/>
  <c r="S14" i="113"/>
  <c r="R14" i="113" s="1"/>
  <c r="S13" i="113"/>
  <c r="R13" i="113" s="1"/>
  <c r="Q15" i="113" l="1"/>
  <c r="P14" i="113"/>
  <c r="O14" i="113" s="1"/>
  <c r="Q16" i="113" l="1"/>
  <c r="P15" i="113"/>
  <c r="O15" i="113" s="1"/>
  <c r="S15" i="113"/>
  <c r="R15" i="113" s="1"/>
  <c r="S16" i="113" l="1"/>
  <c r="R16" i="113" s="1"/>
  <c r="P16" i="113"/>
  <c r="O16" i="113" s="1"/>
  <c r="Q17" i="113"/>
  <c r="Q18" i="113" l="1"/>
  <c r="P17" i="113"/>
  <c r="O17" i="113" s="1"/>
  <c r="S17" i="113"/>
  <c r="R17" i="113" s="1"/>
  <c r="S18" i="113" l="1"/>
  <c r="R18" i="113" s="1"/>
  <c r="Q19" i="113"/>
  <c r="P18" i="113"/>
  <c r="O18" i="113" s="1"/>
  <c r="Q20" i="113" l="1"/>
  <c r="P19" i="113"/>
  <c r="O19" i="113" s="1"/>
  <c r="S19" i="113"/>
  <c r="R19" i="113" s="1"/>
  <c r="Q21" i="113" l="1"/>
  <c r="P20" i="113"/>
  <c r="O20" i="113" s="1"/>
  <c r="S20" i="113"/>
  <c r="R20" i="113" s="1"/>
  <c r="Q22" i="113" l="1"/>
  <c r="P21" i="113"/>
  <c r="O21" i="113" s="1"/>
  <c r="S21" i="113"/>
  <c r="R21" i="113" s="1"/>
  <c r="Q23" i="113" l="1"/>
  <c r="P22" i="113"/>
  <c r="O22" i="113" s="1"/>
  <c r="S22" i="113"/>
  <c r="R22" i="113" s="1"/>
  <c r="Q24" i="113" l="1"/>
  <c r="P23" i="113"/>
  <c r="O23" i="113" s="1"/>
  <c r="S23" i="113"/>
  <c r="R23" i="113" s="1"/>
  <c r="Q25" i="113" l="1"/>
  <c r="P24" i="113"/>
  <c r="O24" i="113" s="1"/>
  <c r="S24" i="113"/>
  <c r="R24" i="113" s="1"/>
  <c r="Q26" i="113" l="1"/>
  <c r="P25" i="113"/>
  <c r="O25" i="113" s="1"/>
  <c r="S25" i="113"/>
  <c r="R25" i="113" s="1"/>
  <c r="Q27" i="113" l="1"/>
  <c r="P26" i="113"/>
  <c r="O26" i="113" s="1"/>
  <c r="S26" i="113"/>
  <c r="R26" i="113" s="1"/>
  <c r="Q28" i="113" l="1"/>
  <c r="P27" i="113"/>
  <c r="O27" i="113" s="1"/>
  <c r="S27" i="113"/>
  <c r="R27" i="113" s="1"/>
  <c r="Q29" i="113" l="1"/>
  <c r="P28" i="113"/>
  <c r="O28" i="113" s="1"/>
  <c r="S28" i="113"/>
  <c r="R28" i="113" s="1"/>
  <c r="Q30" i="113" l="1"/>
  <c r="P29" i="113"/>
  <c r="O29" i="113" s="1"/>
  <c r="S29" i="113"/>
  <c r="R29" i="113" s="1"/>
  <c r="Q31" i="113" l="1"/>
  <c r="P30" i="113"/>
  <c r="O30" i="113" s="1"/>
  <c r="S30" i="113"/>
  <c r="R30" i="113" s="1"/>
  <c r="Q32" i="113" l="1"/>
  <c r="P31" i="113"/>
  <c r="O31" i="113" s="1"/>
  <c r="S31" i="113"/>
  <c r="R31" i="113" s="1"/>
  <c r="Q33" i="113" l="1"/>
  <c r="P32" i="113"/>
  <c r="O32" i="113" s="1"/>
  <c r="S32" i="113"/>
  <c r="R32" i="113" s="1"/>
  <c r="Q34" i="113" l="1"/>
  <c r="P33" i="113"/>
  <c r="O33" i="113" s="1"/>
  <c r="S33" i="113"/>
  <c r="R33" i="113" s="1"/>
  <c r="Q35" i="113" l="1"/>
  <c r="P34" i="113"/>
  <c r="O34" i="113" s="1"/>
  <c r="S34" i="113"/>
  <c r="R34" i="113" s="1"/>
  <c r="Q36" i="113" l="1"/>
  <c r="P35" i="113"/>
  <c r="O35" i="113" s="1"/>
  <c r="S35" i="113"/>
  <c r="R35" i="113" s="1"/>
  <c r="Q37" i="113" l="1"/>
  <c r="P36" i="113"/>
  <c r="O36" i="113" s="1"/>
  <c r="S36" i="113"/>
  <c r="R36" i="113" s="1"/>
  <c r="Q38" i="113" l="1"/>
  <c r="P37" i="113"/>
  <c r="O37" i="113" s="1"/>
  <c r="S37" i="113"/>
  <c r="R37" i="113" s="1"/>
  <c r="Q39" i="113" l="1"/>
  <c r="P38" i="113"/>
  <c r="O38" i="113" s="1"/>
  <c r="S38" i="113"/>
  <c r="R38" i="113" s="1"/>
  <c r="Q40" i="113" l="1"/>
  <c r="P39" i="113"/>
  <c r="O39" i="113" s="1"/>
  <c r="S39" i="113"/>
  <c r="R39" i="113" s="1"/>
  <c r="Q41" i="113" l="1"/>
  <c r="P40" i="113"/>
  <c r="O40" i="113" s="1"/>
  <c r="S40" i="113"/>
  <c r="R40" i="113" s="1"/>
  <c r="Q42" i="113" l="1"/>
  <c r="P41" i="113"/>
  <c r="O41" i="113" s="1"/>
  <c r="S41" i="113"/>
  <c r="R41" i="113" s="1"/>
  <c r="Q43" i="113" l="1"/>
  <c r="P42" i="113"/>
  <c r="O42" i="113" s="1"/>
  <c r="S42" i="113"/>
  <c r="R42" i="113" s="1"/>
  <c r="Q44" i="113" l="1"/>
  <c r="P43" i="113"/>
  <c r="O43" i="113" s="1"/>
  <c r="S43" i="113"/>
  <c r="R43" i="113" s="1"/>
  <c r="Q45" i="113" l="1"/>
  <c r="P44" i="113"/>
  <c r="O44" i="113" s="1"/>
  <c r="S44" i="113"/>
  <c r="R44" i="113" s="1"/>
  <c r="Q46" i="113" l="1"/>
  <c r="P45" i="113"/>
  <c r="O45" i="113" s="1"/>
  <c r="S45" i="113"/>
  <c r="R45" i="113" s="1"/>
  <c r="Q47" i="113" l="1"/>
  <c r="P46" i="113"/>
  <c r="O46" i="113" s="1"/>
  <c r="S46" i="113"/>
  <c r="R46" i="113" s="1"/>
  <c r="Q48" i="113" l="1"/>
  <c r="P47" i="113"/>
  <c r="O47" i="113" s="1"/>
  <c r="S47" i="113"/>
  <c r="R47" i="113" s="1"/>
  <c r="G59" i="114" l="1"/>
  <c r="Q7" i="114" s="1"/>
  <c r="P48" i="113"/>
  <c r="O48" i="113" s="1"/>
  <c r="S48" i="113"/>
  <c r="R48" i="113" s="1"/>
  <c r="S7" i="114" l="1"/>
  <c r="R7" i="114" s="1"/>
  <c r="P7" i="114"/>
  <c r="O7" i="114" s="1"/>
  <c r="Q8" i="114"/>
  <c r="Q9" i="114" l="1"/>
  <c r="P8" i="114"/>
  <c r="O8" i="114" s="1"/>
  <c r="S8" i="114"/>
  <c r="R8" i="114" s="1"/>
  <c r="Q10" i="114" l="1"/>
  <c r="P9" i="114"/>
  <c r="O9" i="114" s="1"/>
  <c r="S9" i="114"/>
  <c r="R9" i="114" s="1"/>
  <c r="S10" i="114"/>
  <c r="R10" i="114" s="1"/>
  <c r="P10" i="114" l="1"/>
  <c r="O10" i="114" s="1"/>
  <c r="Q11" i="114"/>
  <c r="Q12" i="114" l="1"/>
  <c r="P11" i="114"/>
  <c r="O11" i="114" s="1"/>
  <c r="S12" i="114"/>
  <c r="R12" i="114" s="1"/>
  <c r="S11" i="114"/>
  <c r="R11" i="114" s="1"/>
  <c r="Q13" i="114" l="1"/>
  <c r="P12" i="114"/>
  <c r="O12" i="114" s="1"/>
  <c r="P13" i="114" l="1"/>
  <c r="O13" i="114" s="1"/>
  <c r="Q14" i="114"/>
  <c r="S14" i="114"/>
  <c r="R14" i="114" s="1"/>
  <c r="S13" i="114"/>
  <c r="R13" i="114" s="1"/>
  <c r="P14" i="114" l="1"/>
  <c r="O14" i="114" s="1"/>
  <c r="Q15" i="114"/>
  <c r="Q16" i="114" l="1"/>
  <c r="P15" i="114"/>
  <c r="O15" i="114" s="1"/>
  <c r="S16" i="114"/>
  <c r="R16" i="114" s="1"/>
  <c r="S15" i="114"/>
  <c r="R15" i="114" s="1"/>
  <c r="P16" i="114" l="1"/>
  <c r="O16" i="114" s="1"/>
  <c r="Q17" i="114"/>
  <c r="P17" i="114" l="1"/>
  <c r="O17" i="114" s="1"/>
  <c r="Q18" i="114"/>
  <c r="S17" i="114"/>
  <c r="R17" i="114" s="1"/>
  <c r="P18" i="114" l="1"/>
  <c r="O18" i="114" s="1"/>
  <c r="Q19" i="114"/>
  <c r="S18" i="114"/>
  <c r="R18" i="114" s="1"/>
  <c r="Q20" i="114" l="1"/>
  <c r="P19" i="114"/>
  <c r="O19" i="114" s="1"/>
  <c r="S19" i="114"/>
  <c r="R19" i="114" s="1"/>
  <c r="P20" i="114" l="1"/>
  <c r="O20" i="114" s="1"/>
  <c r="Q21" i="114"/>
  <c r="S20" i="114"/>
  <c r="R20" i="114" s="1"/>
  <c r="P21" i="114" l="1"/>
  <c r="O21" i="114" s="1"/>
  <c r="Q22" i="114"/>
  <c r="S21" i="114"/>
  <c r="R21" i="114" s="1"/>
  <c r="Q23" i="114" l="1"/>
  <c r="P22" i="114"/>
  <c r="O22" i="114" s="1"/>
  <c r="S22" i="114"/>
  <c r="R22" i="114" s="1"/>
  <c r="Q24" i="114" l="1"/>
  <c r="P23" i="114"/>
  <c r="O23" i="114" s="1"/>
  <c r="S23" i="114"/>
  <c r="R23" i="114" s="1"/>
  <c r="P24" i="114" l="1"/>
  <c r="O24" i="114" s="1"/>
  <c r="Q25" i="114"/>
  <c r="S24" i="114"/>
  <c r="R24" i="114" s="1"/>
  <c r="Q26" i="114" l="1"/>
  <c r="P25" i="114"/>
  <c r="O25" i="114" s="1"/>
  <c r="S25" i="114"/>
  <c r="R25" i="114" s="1"/>
  <c r="Q27" i="114" l="1"/>
  <c r="P26" i="114"/>
  <c r="O26" i="114" s="1"/>
  <c r="S26" i="114"/>
  <c r="R26" i="114" s="1"/>
  <c r="Q28" i="114" l="1"/>
  <c r="P27" i="114"/>
  <c r="O27" i="114" s="1"/>
  <c r="S27" i="114"/>
  <c r="R27" i="114" s="1"/>
  <c r="Q29" i="114" l="1"/>
  <c r="P28" i="114"/>
  <c r="O28" i="114" s="1"/>
  <c r="S28" i="114"/>
  <c r="R28" i="114" s="1"/>
  <c r="P29" i="114" l="1"/>
  <c r="O29" i="114" s="1"/>
  <c r="Q30" i="114"/>
  <c r="S29" i="114"/>
  <c r="R29" i="114" s="1"/>
  <c r="Q31" i="114" l="1"/>
  <c r="P30" i="114"/>
  <c r="O30" i="114" s="1"/>
  <c r="S30" i="114"/>
  <c r="R30" i="114" s="1"/>
  <c r="P31" i="114" l="1"/>
  <c r="O31" i="114" s="1"/>
  <c r="Q32" i="114"/>
  <c r="S31" i="114"/>
  <c r="R31" i="114" s="1"/>
  <c r="Q33" i="114" l="1"/>
  <c r="P32" i="114"/>
  <c r="O32" i="114" s="1"/>
  <c r="S32" i="114"/>
  <c r="R32" i="114" s="1"/>
  <c r="Q34" i="114" l="1"/>
  <c r="P33" i="114"/>
  <c r="O33" i="114" s="1"/>
  <c r="S33" i="114"/>
  <c r="R33" i="114" s="1"/>
  <c r="Q35" i="114" l="1"/>
  <c r="P34" i="114"/>
  <c r="O34" i="114" s="1"/>
  <c r="S34" i="114"/>
  <c r="R34" i="114" s="1"/>
  <c r="Q36" i="114" l="1"/>
  <c r="P35" i="114"/>
  <c r="O35" i="114" s="1"/>
  <c r="S35" i="114"/>
  <c r="R35" i="114" s="1"/>
  <c r="P36" i="114" l="1"/>
  <c r="O36" i="114" s="1"/>
  <c r="Q37" i="114"/>
  <c r="S36" i="114"/>
  <c r="R36" i="114" s="1"/>
  <c r="P37" i="114" l="1"/>
  <c r="O37" i="114" s="1"/>
  <c r="Q38" i="114"/>
  <c r="S37" i="114"/>
  <c r="R37" i="114" s="1"/>
  <c r="Q39" i="114" l="1"/>
  <c r="P38" i="114"/>
  <c r="O38" i="114" s="1"/>
  <c r="S38" i="114"/>
  <c r="R38" i="114" s="1"/>
  <c r="Q40" i="114" l="1"/>
  <c r="P39" i="114"/>
  <c r="O39" i="114" s="1"/>
  <c r="S39" i="114"/>
  <c r="R39" i="114" s="1"/>
  <c r="P40" i="114" l="1"/>
  <c r="O40" i="114" s="1"/>
  <c r="Q41" i="114"/>
  <c r="S40" i="114"/>
  <c r="R40" i="114" s="1"/>
  <c r="Q42" i="114" l="1"/>
  <c r="P41" i="114"/>
  <c r="O41" i="114" s="1"/>
  <c r="S41" i="114"/>
  <c r="R41" i="114" s="1"/>
  <c r="Q43" i="114" l="1"/>
  <c r="P42" i="114"/>
  <c r="O42" i="114" s="1"/>
  <c r="S42" i="114"/>
  <c r="R42" i="114" s="1"/>
  <c r="Q44" i="114" l="1"/>
  <c r="P43" i="114"/>
  <c r="O43" i="114" s="1"/>
  <c r="S43" i="114"/>
  <c r="R43" i="114" s="1"/>
  <c r="Q45" i="114" l="1"/>
  <c r="P44" i="114"/>
  <c r="O44" i="114" s="1"/>
  <c r="S44" i="114"/>
  <c r="R44" i="114" s="1"/>
  <c r="P45" i="114" l="1"/>
  <c r="O45" i="114" s="1"/>
  <c r="Q46" i="114"/>
  <c r="S45" i="114"/>
  <c r="R45" i="114" s="1"/>
  <c r="P46" i="114" l="1"/>
  <c r="O46" i="114" s="1"/>
  <c r="Q47" i="114"/>
  <c r="S46" i="114"/>
  <c r="R46" i="114" s="1"/>
  <c r="Q48" i="114" l="1"/>
  <c r="P47" i="114"/>
  <c r="O47" i="114" s="1"/>
  <c r="S47" i="114"/>
  <c r="R47" i="114" s="1"/>
  <c r="Q49" i="114" l="1"/>
  <c r="P48" i="114"/>
  <c r="O48" i="114" s="1"/>
  <c r="S48" i="114"/>
  <c r="R48" i="114" s="1"/>
  <c r="Q50" i="114" l="1"/>
  <c r="P49" i="114"/>
  <c r="O49" i="114" s="1"/>
  <c r="S49" i="114"/>
  <c r="R49" i="114" s="1"/>
  <c r="Q51" i="114" l="1"/>
  <c r="P50" i="114"/>
  <c r="O50" i="114" s="1"/>
  <c r="S50" i="114"/>
  <c r="R50" i="114" s="1"/>
  <c r="Q52" i="114" l="1"/>
  <c r="P51" i="114"/>
  <c r="O51" i="114" s="1"/>
  <c r="S51" i="114"/>
  <c r="R51" i="114" s="1"/>
  <c r="Q53" i="114" l="1"/>
  <c r="P52" i="114"/>
  <c r="O52" i="114" s="1"/>
  <c r="S52" i="114"/>
  <c r="R52" i="114" s="1"/>
  <c r="Q54" i="114" l="1"/>
  <c r="P53" i="114"/>
  <c r="O53" i="114" s="1"/>
  <c r="S53" i="114"/>
  <c r="R53" i="114" s="1"/>
  <c r="Q55" i="114" l="1"/>
  <c r="P54" i="114"/>
  <c r="O54" i="114" s="1"/>
  <c r="S54" i="114"/>
  <c r="R54" i="114" s="1"/>
  <c r="G52" i="115" l="1"/>
  <c r="Q7" i="115" s="1"/>
  <c r="P55" i="114"/>
  <c r="O55" i="114" s="1"/>
  <c r="S55" i="114"/>
  <c r="R55" i="114" s="1"/>
  <c r="S7" i="115" l="1"/>
  <c r="R7" i="115" s="1"/>
  <c r="P7" i="115"/>
  <c r="O7" i="115" s="1"/>
  <c r="Q8" i="115"/>
  <c r="S8" i="115" s="1"/>
  <c r="R8" i="115" s="1"/>
  <c r="Q9" i="115" l="1"/>
  <c r="P8" i="115"/>
  <c r="O8" i="115" s="1"/>
  <c r="Q10" i="115" l="1"/>
  <c r="P9" i="115"/>
  <c r="O9" i="115" s="1"/>
  <c r="S9" i="115"/>
  <c r="R9" i="115" s="1"/>
  <c r="S10" i="115" l="1"/>
  <c r="R10" i="115" s="1"/>
  <c r="Q11" i="115"/>
  <c r="P10" i="115"/>
  <c r="O10" i="115" s="1"/>
  <c r="Q12" i="115" l="1"/>
  <c r="P11" i="115"/>
  <c r="O11" i="115" s="1"/>
  <c r="S11" i="115"/>
  <c r="R11" i="115" s="1"/>
  <c r="S12" i="115"/>
  <c r="R12" i="115" s="1"/>
  <c r="P12" i="115" l="1"/>
  <c r="O12" i="115" s="1"/>
  <c r="Q13" i="115"/>
  <c r="Q14" i="115" l="1"/>
  <c r="P13" i="115"/>
  <c r="O13" i="115" s="1"/>
  <c r="S13" i="115"/>
  <c r="R13" i="115" s="1"/>
  <c r="S14" i="115"/>
  <c r="R14" i="115" s="1"/>
  <c r="Q15" i="115" l="1"/>
  <c r="P14" i="115"/>
  <c r="O14" i="115" s="1"/>
  <c r="Q16" i="115" l="1"/>
  <c r="P15" i="115"/>
  <c r="O15" i="115" s="1"/>
  <c r="S16" i="115"/>
  <c r="R16" i="115" s="1"/>
  <c r="S15" i="115"/>
  <c r="R15" i="115" s="1"/>
  <c r="P16" i="115" l="1"/>
  <c r="O16" i="115" s="1"/>
  <c r="Q17" i="115"/>
  <c r="Q18" i="115" l="1"/>
  <c r="P17" i="115"/>
  <c r="O17" i="115" s="1"/>
  <c r="S17" i="115"/>
  <c r="R17" i="115" s="1"/>
  <c r="Q19" i="115" l="1"/>
  <c r="P18" i="115"/>
  <c r="O18" i="115" s="1"/>
  <c r="S18" i="115"/>
  <c r="R18" i="115" s="1"/>
  <c r="Q20" i="115" l="1"/>
  <c r="P19" i="115"/>
  <c r="O19" i="115" s="1"/>
  <c r="S19" i="115"/>
  <c r="R19" i="115" s="1"/>
  <c r="Q21" i="115" l="1"/>
  <c r="P20" i="115"/>
  <c r="O20" i="115" s="1"/>
  <c r="S20" i="115"/>
  <c r="R20" i="115" s="1"/>
  <c r="Q22" i="115" l="1"/>
  <c r="P21" i="115"/>
  <c r="O21" i="115" s="1"/>
  <c r="S21" i="115"/>
  <c r="R21" i="115" s="1"/>
  <c r="Q23" i="115" l="1"/>
  <c r="P22" i="115"/>
  <c r="O22" i="115" s="1"/>
  <c r="S22" i="115"/>
  <c r="R22" i="115" s="1"/>
  <c r="Q24" i="115" l="1"/>
  <c r="P23" i="115"/>
  <c r="O23" i="115" s="1"/>
  <c r="S23" i="115"/>
  <c r="R23" i="115" s="1"/>
  <c r="Q25" i="115" l="1"/>
  <c r="P24" i="115"/>
  <c r="O24" i="115" s="1"/>
  <c r="S24" i="115"/>
  <c r="R24" i="115" s="1"/>
  <c r="Q26" i="115" l="1"/>
  <c r="P25" i="115"/>
  <c r="O25" i="115" s="1"/>
  <c r="S25" i="115"/>
  <c r="R25" i="115" s="1"/>
  <c r="Q27" i="115" l="1"/>
  <c r="P26" i="115"/>
  <c r="O26" i="115" s="1"/>
  <c r="S26" i="115"/>
  <c r="R26" i="115" s="1"/>
  <c r="Q28" i="115" l="1"/>
  <c r="P27" i="115"/>
  <c r="O27" i="115" s="1"/>
  <c r="S27" i="115"/>
  <c r="R27" i="115" s="1"/>
  <c r="P28" i="115" l="1"/>
  <c r="O28" i="115" s="1"/>
  <c r="Q29" i="115"/>
  <c r="S28" i="115"/>
  <c r="R28" i="115" s="1"/>
  <c r="Q30" i="115" l="1"/>
  <c r="P29" i="115"/>
  <c r="O29" i="115" s="1"/>
  <c r="S29" i="115"/>
  <c r="R29" i="115" s="1"/>
  <c r="P30" i="115" l="1"/>
  <c r="O30" i="115" s="1"/>
  <c r="Q31" i="115"/>
  <c r="S30" i="115"/>
  <c r="R30" i="115" s="1"/>
  <c r="Q32" i="115" l="1"/>
  <c r="P31" i="115"/>
  <c r="O31" i="115" s="1"/>
  <c r="S31" i="115"/>
  <c r="R31" i="115" s="1"/>
  <c r="Q33" i="115" l="1"/>
  <c r="P32" i="115"/>
  <c r="O32" i="115" s="1"/>
  <c r="S32" i="115"/>
  <c r="R32" i="115" s="1"/>
  <c r="P33" i="115" l="1"/>
  <c r="O33" i="115" s="1"/>
  <c r="Q34" i="115"/>
  <c r="S33" i="115"/>
  <c r="R33" i="115" s="1"/>
  <c r="Q35" i="115" l="1"/>
  <c r="P34" i="115"/>
  <c r="O34" i="115" s="1"/>
  <c r="S34" i="115"/>
  <c r="R34" i="115" s="1"/>
  <c r="Q36" i="115" l="1"/>
  <c r="P35" i="115"/>
  <c r="O35" i="115" s="1"/>
  <c r="S35" i="115"/>
  <c r="R35" i="115" s="1"/>
  <c r="Q37" i="115" l="1"/>
  <c r="P36" i="115"/>
  <c r="O36" i="115" s="1"/>
  <c r="S36" i="115"/>
  <c r="R36" i="115" s="1"/>
  <c r="Q38" i="115" l="1"/>
  <c r="P37" i="115"/>
  <c r="O37" i="115" s="1"/>
  <c r="S37" i="115"/>
  <c r="R37" i="115" s="1"/>
  <c r="Q39" i="115" l="1"/>
  <c r="P38" i="115"/>
  <c r="O38" i="115" s="1"/>
  <c r="S38" i="115"/>
  <c r="R38" i="115" s="1"/>
  <c r="Q40" i="115" l="1"/>
  <c r="P39" i="115"/>
  <c r="O39" i="115" s="1"/>
  <c r="S39" i="115"/>
  <c r="R39" i="115" s="1"/>
  <c r="P40" i="115" l="1"/>
  <c r="O40" i="115" s="1"/>
  <c r="Q41" i="115"/>
  <c r="S40" i="115"/>
  <c r="R40" i="115" s="1"/>
  <c r="P41" i="115" l="1"/>
  <c r="O41" i="115" s="1"/>
  <c r="Q42" i="115"/>
  <c r="S41" i="115"/>
  <c r="R41" i="115" s="1"/>
  <c r="Q43" i="115" l="1"/>
  <c r="P42" i="115"/>
  <c r="O42" i="115" s="1"/>
  <c r="S42" i="115"/>
  <c r="R42" i="115" s="1"/>
  <c r="Q44" i="115" l="1"/>
  <c r="P43" i="115"/>
  <c r="O43" i="115" s="1"/>
  <c r="S43" i="115"/>
  <c r="R43" i="115" s="1"/>
  <c r="Q45" i="115" l="1"/>
  <c r="P44" i="115"/>
  <c r="O44" i="115" s="1"/>
  <c r="S44" i="115"/>
  <c r="R44" i="115" s="1"/>
  <c r="P45" i="115" l="1"/>
  <c r="O45" i="115" s="1"/>
  <c r="Q46" i="115"/>
  <c r="S45" i="115"/>
  <c r="R45" i="115" s="1"/>
  <c r="Q47" i="115" l="1"/>
  <c r="P46" i="115"/>
  <c r="O46" i="115" s="1"/>
  <c r="S46" i="115"/>
  <c r="R46" i="115" s="1"/>
  <c r="Q48" i="115" l="1"/>
  <c r="P47" i="115"/>
  <c r="O47" i="115" s="1"/>
  <c r="S47" i="115"/>
  <c r="R47" i="115" s="1"/>
  <c r="S48" i="115" l="1"/>
  <c r="R48" i="115" s="1"/>
  <c r="G59" i="116"/>
  <c r="Q7" i="116" s="1"/>
  <c r="P48" i="115"/>
  <c r="O48" i="115" s="1"/>
  <c r="P7" i="116" l="1"/>
  <c r="O7" i="116" s="1"/>
  <c r="S7" i="116"/>
  <c r="R7" i="116" s="1"/>
  <c r="Q8" i="116"/>
  <c r="S8" i="116" s="1"/>
  <c r="R8" i="116" s="1"/>
  <c r="Q9" i="116" l="1"/>
  <c r="P8" i="116"/>
  <c r="O8" i="116" s="1"/>
  <c r="P9" i="116" l="1"/>
  <c r="O9" i="116" s="1"/>
  <c r="Q10" i="116"/>
  <c r="S9" i="116"/>
  <c r="R9" i="116" s="1"/>
  <c r="S10" i="116"/>
  <c r="R10" i="116" s="1"/>
  <c r="Q11" i="116" l="1"/>
  <c r="P10" i="116"/>
  <c r="O10" i="116" s="1"/>
  <c r="Q12" i="116" l="1"/>
  <c r="P11" i="116"/>
  <c r="O11" i="116" s="1"/>
  <c r="S11" i="116"/>
  <c r="R11" i="116" s="1"/>
  <c r="S12" i="116"/>
  <c r="R12" i="116" s="1"/>
  <c r="P12" i="116" l="1"/>
  <c r="O12" i="116" s="1"/>
  <c r="Q13" i="116"/>
  <c r="Q14" i="116" l="1"/>
  <c r="P13" i="116"/>
  <c r="O13" i="116" s="1"/>
  <c r="S14" i="116"/>
  <c r="R14" i="116" s="1"/>
  <c r="S13" i="116"/>
  <c r="R13" i="116" s="1"/>
  <c r="P14" i="116" l="1"/>
  <c r="O14" i="116" s="1"/>
  <c r="Q15" i="116"/>
  <c r="P15" i="116" l="1"/>
  <c r="O15" i="116" s="1"/>
  <c r="Q16" i="116"/>
  <c r="S16" i="116"/>
  <c r="R16" i="116" s="1"/>
  <c r="S15" i="116"/>
  <c r="R15" i="116" s="1"/>
  <c r="Q17" i="116" l="1"/>
  <c r="P16" i="116"/>
  <c r="O16" i="116" s="1"/>
  <c r="Q18" i="116" l="1"/>
  <c r="P17" i="116"/>
  <c r="O17" i="116" s="1"/>
  <c r="S17" i="116"/>
  <c r="R17" i="116" s="1"/>
  <c r="Q19" i="116" l="1"/>
  <c r="P18" i="116"/>
  <c r="O18" i="116" s="1"/>
  <c r="S18" i="116"/>
  <c r="R18" i="116" s="1"/>
  <c r="Q20" i="116" l="1"/>
  <c r="P19" i="116"/>
  <c r="O19" i="116" s="1"/>
  <c r="S19" i="116"/>
  <c r="R19" i="116" s="1"/>
  <c r="Q21" i="116" l="1"/>
  <c r="P20" i="116"/>
  <c r="O20" i="116" s="1"/>
  <c r="S20" i="116"/>
  <c r="R20" i="116" s="1"/>
  <c r="Q22" i="116" l="1"/>
  <c r="P21" i="116"/>
  <c r="O21" i="116" s="1"/>
  <c r="S21" i="116"/>
  <c r="R21" i="116" s="1"/>
  <c r="Q23" i="116" l="1"/>
  <c r="P22" i="116"/>
  <c r="O22" i="116" s="1"/>
  <c r="S22" i="116"/>
  <c r="R22" i="116" s="1"/>
  <c r="Q24" i="116" l="1"/>
  <c r="P23" i="116"/>
  <c r="O23" i="116" s="1"/>
  <c r="S23" i="116"/>
  <c r="R23" i="116" s="1"/>
  <c r="P24" i="116" l="1"/>
  <c r="O24" i="116" s="1"/>
  <c r="Q25" i="116"/>
  <c r="S24" i="116"/>
  <c r="R24" i="116" s="1"/>
  <c r="Q26" i="116" l="1"/>
  <c r="P25" i="116"/>
  <c r="O25" i="116" s="1"/>
  <c r="S25" i="116"/>
  <c r="R25" i="116" s="1"/>
  <c r="Q27" i="116" l="1"/>
  <c r="P26" i="116"/>
  <c r="O26" i="116" s="1"/>
  <c r="S26" i="116"/>
  <c r="R26" i="116" s="1"/>
  <c r="Q28" i="116" l="1"/>
  <c r="P27" i="116"/>
  <c r="O27" i="116" s="1"/>
  <c r="S27" i="116"/>
  <c r="R27" i="116" s="1"/>
  <c r="Q29" i="116" l="1"/>
  <c r="P28" i="116"/>
  <c r="O28" i="116" s="1"/>
  <c r="S28" i="116"/>
  <c r="R28" i="116" s="1"/>
  <c r="Q30" i="116" l="1"/>
  <c r="P29" i="116"/>
  <c r="O29" i="116" s="1"/>
  <c r="S29" i="116"/>
  <c r="R29" i="116" s="1"/>
  <c r="Q31" i="116" l="1"/>
  <c r="P30" i="116"/>
  <c r="O30" i="116" s="1"/>
  <c r="S30" i="116"/>
  <c r="R30" i="116" s="1"/>
  <c r="P31" i="116" l="1"/>
  <c r="O31" i="116" s="1"/>
  <c r="Q32" i="116"/>
  <c r="S31" i="116"/>
  <c r="R31" i="116" s="1"/>
  <c r="Q33" i="116" l="1"/>
  <c r="P32" i="116"/>
  <c r="O32" i="116" s="1"/>
  <c r="S32" i="116"/>
  <c r="R32" i="116" s="1"/>
  <c r="P33" i="116" l="1"/>
  <c r="O33" i="116" s="1"/>
  <c r="Q34" i="116"/>
  <c r="S33" i="116"/>
  <c r="R33" i="116" s="1"/>
  <c r="Q35" i="116" l="1"/>
  <c r="P34" i="116"/>
  <c r="O34" i="116" s="1"/>
  <c r="S34" i="116"/>
  <c r="R34" i="116" s="1"/>
  <c r="Q36" i="116" l="1"/>
  <c r="P35" i="116"/>
  <c r="O35" i="116" s="1"/>
  <c r="S35" i="116"/>
  <c r="R35" i="116" s="1"/>
  <c r="Q37" i="116" l="1"/>
  <c r="P36" i="116"/>
  <c r="O36" i="116" s="1"/>
  <c r="S36" i="116"/>
  <c r="R36" i="116" s="1"/>
  <c r="Q38" i="116" l="1"/>
  <c r="P37" i="116"/>
  <c r="O37" i="116" s="1"/>
  <c r="S37" i="116"/>
  <c r="R37" i="116" s="1"/>
  <c r="Q39" i="116" l="1"/>
  <c r="P38" i="116"/>
  <c r="O38" i="116" s="1"/>
  <c r="S38" i="116"/>
  <c r="R38" i="116" s="1"/>
  <c r="Q40" i="116" l="1"/>
  <c r="P39" i="116"/>
  <c r="O39" i="116" s="1"/>
  <c r="S39" i="116"/>
  <c r="R39" i="116" s="1"/>
  <c r="S40" i="116" l="1"/>
  <c r="R40" i="116" s="1"/>
  <c r="Q41" i="116"/>
  <c r="P40" i="116"/>
  <c r="O40" i="116" s="1"/>
  <c r="S41" i="116" l="1"/>
  <c r="R41" i="116" s="1"/>
  <c r="P41" i="116"/>
  <c r="O41" i="116" s="1"/>
  <c r="Q42" i="116"/>
  <c r="P42" i="116" l="1"/>
  <c r="O42" i="116" s="1"/>
  <c r="Q43" i="116"/>
  <c r="S42" i="116"/>
  <c r="R42" i="116" s="1"/>
  <c r="P43" i="116" l="1"/>
  <c r="O43" i="116" s="1"/>
  <c r="Q44" i="116"/>
  <c r="S43" i="116"/>
  <c r="R43" i="116" s="1"/>
  <c r="S44" i="116" l="1"/>
  <c r="R44" i="116" s="1"/>
  <c r="P44" i="116"/>
  <c r="O44" i="116" s="1"/>
  <c r="Q45" i="116"/>
  <c r="S45" i="116" l="1"/>
  <c r="R45" i="116" s="1"/>
  <c r="Q46" i="116"/>
  <c r="P45" i="116"/>
  <c r="O45" i="116" s="1"/>
  <c r="S46" i="116" l="1"/>
  <c r="R46" i="116" s="1"/>
  <c r="P46" i="116"/>
  <c r="O46" i="116" s="1"/>
  <c r="Q47" i="116"/>
  <c r="S47" i="116" l="1"/>
  <c r="R47" i="116" s="1"/>
  <c r="P47" i="116"/>
  <c r="O47" i="116" s="1"/>
  <c r="Q48" i="116"/>
  <c r="P48" i="116" l="1"/>
  <c r="O48" i="116" s="1"/>
  <c r="Q49" i="116"/>
  <c r="S48" i="116"/>
  <c r="R48" i="116" s="1"/>
  <c r="Q50" i="116" l="1"/>
  <c r="P49" i="116"/>
  <c r="O49" i="116" s="1"/>
  <c r="S49" i="116"/>
  <c r="R49" i="116" s="1"/>
  <c r="S50" i="116" l="1"/>
  <c r="R50" i="116" s="1"/>
  <c r="Q51" i="116"/>
  <c r="P50" i="116"/>
  <c r="O50" i="116" s="1"/>
  <c r="Q52" i="116" l="1"/>
  <c r="P51" i="116"/>
  <c r="O51" i="116" s="1"/>
  <c r="S51" i="116"/>
  <c r="R51" i="116" s="1"/>
  <c r="Q53" i="116" l="1"/>
  <c r="P52" i="116"/>
  <c r="O52" i="116" s="1"/>
  <c r="S52" i="116"/>
  <c r="R52" i="116" s="1"/>
  <c r="Q54" i="116" l="1"/>
  <c r="P53" i="116"/>
  <c r="O53" i="116" s="1"/>
  <c r="S53" i="116"/>
  <c r="R53" i="116" s="1"/>
  <c r="Q55" i="116" l="1"/>
  <c r="P54" i="116"/>
  <c r="O54" i="116" s="1"/>
  <c r="S54" i="116"/>
  <c r="R54" i="116" s="1"/>
  <c r="G52" i="117" l="1"/>
  <c r="Q7" i="117" s="1"/>
  <c r="P55" i="116"/>
  <c r="O55" i="116" s="1"/>
  <c r="S55" i="116"/>
  <c r="R55" i="116" s="1"/>
  <c r="Q8" i="117" l="1"/>
  <c r="P7" i="117"/>
  <c r="O7" i="117" s="1"/>
  <c r="S7" i="117"/>
  <c r="R7" i="117" s="1"/>
  <c r="S8" i="117"/>
  <c r="R8" i="117" s="1"/>
  <c r="Q9" i="117" l="1"/>
  <c r="P8" i="117"/>
  <c r="O8" i="117" s="1"/>
  <c r="Q10" i="117" l="1"/>
  <c r="P9" i="117"/>
  <c r="O9" i="117" s="1"/>
  <c r="S10" i="117"/>
  <c r="R10" i="117" s="1"/>
  <c r="S9" i="117"/>
  <c r="R9" i="117" s="1"/>
  <c r="P10" i="117" l="1"/>
  <c r="O10" i="117" s="1"/>
  <c r="Q11" i="117"/>
  <c r="P11" i="117" l="1"/>
  <c r="O11" i="117" s="1"/>
  <c r="Q12" i="117"/>
  <c r="S11" i="117"/>
  <c r="R11" i="117" s="1"/>
  <c r="S12" i="117"/>
  <c r="R12" i="117" s="1"/>
  <c r="Q13" i="117" l="1"/>
  <c r="S13" i="117" s="1"/>
  <c r="R13" i="117" s="1"/>
  <c r="P12" i="117"/>
  <c r="O12" i="117" s="1"/>
  <c r="Q14" i="117" l="1"/>
  <c r="P13" i="117"/>
  <c r="O13" i="117" s="1"/>
  <c r="Q15" i="117" l="1"/>
  <c r="P14" i="117"/>
  <c r="O14" i="117" s="1"/>
  <c r="S14" i="117"/>
  <c r="R14" i="117" s="1"/>
  <c r="Q16" i="117" l="1"/>
  <c r="P15" i="117"/>
  <c r="O15" i="117" s="1"/>
  <c r="S15" i="117"/>
  <c r="R15" i="117" s="1"/>
  <c r="S16" i="117"/>
  <c r="R16" i="117" s="1"/>
  <c r="P16" i="117" l="1"/>
  <c r="O16" i="117" s="1"/>
  <c r="Q17" i="117"/>
  <c r="Q18" i="117" l="1"/>
  <c r="P17" i="117"/>
  <c r="O17" i="117" s="1"/>
  <c r="S17" i="117"/>
  <c r="R17" i="117" s="1"/>
  <c r="Q19" i="117" l="1"/>
  <c r="P18" i="117"/>
  <c r="O18" i="117" s="1"/>
  <c r="S18" i="117"/>
  <c r="R18" i="117" s="1"/>
  <c r="Q20" i="117" l="1"/>
  <c r="P19" i="117"/>
  <c r="O19" i="117" s="1"/>
  <c r="S19" i="117"/>
  <c r="R19" i="117" s="1"/>
  <c r="Q21" i="117" l="1"/>
  <c r="P20" i="117"/>
  <c r="O20" i="117" s="1"/>
  <c r="S20" i="117"/>
  <c r="R20" i="117" s="1"/>
  <c r="Q22" i="117" l="1"/>
  <c r="P21" i="117"/>
  <c r="O21" i="117" s="1"/>
  <c r="S21" i="117"/>
  <c r="R21" i="117" s="1"/>
  <c r="P22" i="117" l="1"/>
  <c r="O22" i="117" s="1"/>
  <c r="Q23" i="117"/>
  <c r="S22" i="117"/>
  <c r="R22" i="117" s="1"/>
  <c r="P23" i="117" l="1"/>
  <c r="O23" i="117" s="1"/>
  <c r="Q24" i="117"/>
  <c r="S23" i="117"/>
  <c r="R23" i="117" s="1"/>
  <c r="Q25" i="117" l="1"/>
  <c r="P24" i="117"/>
  <c r="O24" i="117" s="1"/>
  <c r="S24" i="117"/>
  <c r="R24" i="117" s="1"/>
  <c r="P25" i="117" l="1"/>
  <c r="O25" i="117" s="1"/>
  <c r="Q26" i="117"/>
  <c r="S25" i="117"/>
  <c r="R25" i="117" s="1"/>
  <c r="P26" i="117" l="1"/>
  <c r="O26" i="117" s="1"/>
  <c r="Q27" i="117"/>
  <c r="S26" i="117"/>
  <c r="R26" i="117" s="1"/>
  <c r="Q28" i="117" l="1"/>
  <c r="P27" i="117"/>
  <c r="O27" i="117" s="1"/>
  <c r="S27" i="117"/>
  <c r="R27" i="117" s="1"/>
  <c r="Q29" i="117" l="1"/>
  <c r="P28" i="117"/>
  <c r="O28" i="117" s="1"/>
  <c r="S28" i="117"/>
  <c r="R28" i="117" s="1"/>
  <c r="Q30" i="117" l="1"/>
  <c r="P29" i="117"/>
  <c r="O29" i="117" s="1"/>
  <c r="S29" i="117"/>
  <c r="R29" i="117" s="1"/>
  <c r="Q31" i="117" l="1"/>
  <c r="P30" i="117"/>
  <c r="O30" i="117" s="1"/>
  <c r="S30" i="117"/>
  <c r="R30" i="117" s="1"/>
  <c r="Q32" i="117" l="1"/>
  <c r="P31" i="117"/>
  <c r="O31" i="117" s="1"/>
  <c r="S31" i="117"/>
  <c r="R31" i="117" s="1"/>
  <c r="P32" i="117" l="1"/>
  <c r="O32" i="117" s="1"/>
  <c r="Q33" i="117"/>
  <c r="S32" i="117"/>
  <c r="R32" i="117" s="1"/>
  <c r="Q34" i="117" l="1"/>
  <c r="P33" i="117"/>
  <c r="O33" i="117" s="1"/>
  <c r="S33" i="117"/>
  <c r="R33" i="117" s="1"/>
  <c r="Q35" i="117" l="1"/>
  <c r="P34" i="117"/>
  <c r="O34" i="117" s="1"/>
  <c r="S34" i="117"/>
  <c r="R34" i="117" s="1"/>
  <c r="Q36" i="117" l="1"/>
  <c r="P35" i="117"/>
  <c r="O35" i="117" s="1"/>
  <c r="S35" i="117"/>
  <c r="R35" i="117" s="1"/>
  <c r="Q37" i="117" l="1"/>
  <c r="P36" i="117"/>
  <c r="O36" i="117" s="1"/>
  <c r="S36" i="117"/>
  <c r="R36" i="117" s="1"/>
  <c r="P37" i="117" l="1"/>
  <c r="O37" i="117" s="1"/>
  <c r="Q38" i="117"/>
  <c r="S37" i="117"/>
  <c r="R37" i="117" s="1"/>
  <c r="Q39" i="117" l="1"/>
  <c r="P38" i="117"/>
  <c r="O38" i="117" s="1"/>
  <c r="S38" i="117"/>
  <c r="R38" i="117" s="1"/>
  <c r="Q40" i="117" l="1"/>
  <c r="P39" i="117"/>
  <c r="O39" i="117" s="1"/>
  <c r="S39" i="117"/>
  <c r="R39" i="117" s="1"/>
  <c r="Q41" i="117" l="1"/>
  <c r="P40" i="117"/>
  <c r="O40" i="117" s="1"/>
  <c r="S40" i="117"/>
  <c r="R40" i="117" s="1"/>
  <c r="Q42" i="117" l="1"/>
  <c r="P41" i="117"/>
  <c r="O41" i="117" s="1"/>
  <c r="S41" i="117"/>
  <c r="R41" i="117" s="1"/>
  <c r="Q43" i="117" l="1"/>
  <c r="P42" i="117"/>
  <c r="O42" i="117" s="1"/>
  <c r="S42" i="117"/>
  <c r="R42" i="117" s="1"/>
  <c r="Q44" i="117" l="1"/>
  <c r="P43" i="117"/>
  <c r="O43" i="117" s="1"/>
  <c r="S43" i="117"/>
  <c r="R43" i="117" s="1"/>
  <c r="P44" i="117" l="1"/>
  <c r="O44" i="117" s="1"/>
  <c r="Q45" i="117"/>
  <c r="S44" i="117"/>
  <c r="R44" i="117" s="1"/>
  <c r="Q46" i="117" l="1"/>
  <c r="P45" i="117"/>
  <c r="O45" i="117" s="1"/>
  <c r="S45" i="117"/>
  <c r="R45" i="117" s="1"/>
  <c r="Q47" i="117" l="1"/>
  <c r="P46" i="117"/>
  <c r="O46" i="117" s="1"/>
  <c r="S46" i="117"/>
  <c r="R46" i="117" s="1"/>
  <c r="Q48" i="117" l="1"/>
  <c r="P47" i="117"/>
  <c r="O47" i="117" s="1"/>
  <c r="S47" i="117"/>
  <c r="R47" i="117" s="1"/>
  <c r="G59" i="118" l="1"/>
  <c r="Q7" i="118" s="1"/>
  <c r="P48" i="117"/>
  <c r="O48" i="117" s="1"/>
  <c r="S48" i="117"/>
  <c r="R48" i="117" s="1"/>
  <c r="Q8" i="118" l="1"/>
  <c r="P7" i="118"/>
  <c r="O7" i="118" s="1"/>
  <c r="S7" i="118"/>
  <c r="R7" i="118" s="1"/>
  <c r="S8" i="118" l="1"/>
  <c r="R8" i="118" s="1"/>
  <c r="P8" i="118"/>
  <c r="O8" i="118" s="1"/>
  <c r="Q9" i="118"/>
  <c r="Q10" i="118" l="1"/>
  <c r="P9" i="118"/>
  <c r="O9" i="118" s="1"/>
  <c r="S9" i="118"/>
  <c r="R9" i="118" s="1"/>
  <c r="S10" i="118"/>
  <c r="R10" i="118" s="1"/>
  <c r="P10" i="118" l="1"/>
  <c r="O10" i="118" s="1"/>
  <c r="Q11" i="118"/>
  <c r="P11" i="118" l="1"/>
  <c r="O11" i="118" s="1"/>
  <c r="Q12" i="118"/>
  <c r="S11" i="118"/>
  <c r="R11" i="118" s="1"/>
  <c r="S12" i="118"/>
  <c r="R12" i="118" s="1"/>
  <c r="P12" i="118" l="1"/>
  <c r="O12" i="118" s="1"/>
  <c r="Q13" i="118"/>
  <c r="Q14" i="118" l="1"/>
  <c r="P13" i="118"/>
  <c r="O13" i="118" s="1"/>
  <c r="S14" i="118"/>
  <c r="R14" i="118" s="1"/>
  <c r="S13" i="118"/>
  <c r="R13" i="118" s="1"/>
  <c r="Q15" i="118" l="1"/>
  <c r="P14" i="118"/>
  <c r="O14" i="118" s="1"/>
  <c r="Q16" i="118" l="1"/>
  <c r="P15" i="118"/>
  <c r="O15" i="118" s="1"/>
  <c r="S15" i="118"/>
  <c r="R15" i="118" s="1"/>
  <c r="S16" i="118"/>
  <c r="R16" i="118" s="1"/>
  <c r="Q17" i="118" l="1"/>
  <c r="P16" i="118"/>
  <c r="O16" i="118" s="1"/>
  <c r="P17" i="118" l="1"/>
  <c r="O17" i="118" s="1"/>
  <c r="Q18" i="118"/>
  <c r="S17" i="118"/>
  <c r="R17" i="118" s="1"/>
  <c r="P18" i="118" l="1"/>
  <c r="O18" i="118" s="1"/>
  <c r="Q19" i="118"/>
  <c r="S18" i="118"/>
  <c r="R18" i="118" s="1"/>
  <c r="Q20" i="118" l="1"/>
  <c r="P19" i="118"/>
  <c r="O19" i="118" s="1"/>
  <c r="S19" i="118"/>
  <c r="R19" i="118" s="1"/>
  <c r="S20" i="118" l="1"/>
  <c r="R20" i="118" s="1"/>
  <c r="Q21" i="118"/>
  <c r="P20" i="118"/>
  <c r="O20" i="118" s="1"/>
  <c r="Q22" i="118" l="1"/>
  <c r="P21" i="118"/>
  <c r="O21" i="118" s="1"/>
  <c r="S21" i="118"/>
  <c r="R21" i="118" s="1"/>
  <c r="Q23" i="118" l="1"/>
  <c r="P22" i="118"/>
  <c r="O22" i="118" s="1"/>
  <c r="S22" i="118"/>
  <c r="R22" i="118" s="1"/>
  <c r="Q24" i="118" l="1"/>
  <c r="P23" i="118"/>
  <c r="O23" i="118" s="1"/>
  <c r="S23" i="118"/>
  <c r="R23" i="118" s="1"/>
  <c r="Q25" i="118" l="1"/>
  <c r="P24" i="118"/>
  <c r="O24" i="118" s="1"/>
  <c r="S24" i="118"/>
  <c r="R24" i="118" s="1"/>
  <c r="Q26" i="118" l="1"/>
  <c r="P25" i="118"/>
  <c r="O25" i="118" s="1"/>
  <c r="S25" i="118"/>
  <c r="R25" i="118" s="1"/>
  <c r="Q27" i="118" l="1"/>
  <c r="P26" i="118"/>
  <c r="O26" i="118" s="1"/>
  <c r="S26" i="118"/>
  <c r="R26" i="118" s="1"/>
  <c r="Q28" i="118" l="1"/>
  <c r="P27" i="118"/>
  <c r="O27" i="118" s="1"/>
  <c r="S27" i="118"/>
  <c r="R27" i="118" s="1"/>
  <c r="Q29" i="118" l="1"/>
  <c r="P28" i="118"/>
  <c r="O28" i="118" s="1"/>
  <c r="S28" i="118"/>
  <c r="R28" i="118" s="1"/>
  <c r="Q30" i="118" l="1"/>
  <c r="P29" i="118"/>
  <c r="O29" i="118" s="1"/>
  <c r="S29" i="118"/>
  <c r="R29" i="118" s="1"/>
  <c r="P30" i="118" l="1"/>
  <c r="O30" i="118" s="1"/>
  <c r="Q31" i="118"/>
  <c r="S30" i="118"/>
  <c r="R30" i="118" s="1"/>
  <c r="Q32" i="118" l="1"/>
  <c r="P31" i="118"/>
  <c r="O31" i="118" s="1"/>
  <c r="S31" i="118"/>
  <c r="R31" i="118" s="1"/>
  <c r="Q33" i="118" l="1"/>
  <c r="P32" i="118"/>
  <c r="O32" i="118" s="1"/>
  <c r="S32" i="118"/>
  <c r="R32" i="118" s="1"/>
  <c r="Q34" i="118" l="1"/>
  <c r="P33" i="118"/>
  <c r="O33" i="118" s="1"/>
  <c r="S33" i="118"/>
  <c r="R33" i="118" s="1"/>
  <c r="Q35" i="118" l="1"/>
  <c r="P34" i="118"/>
  <c r="O34" i="118" s="1"/>
  <c r="S34" i="118"/>
  <c r="R34" i="118" s="1"/>
  <c r="Q36" i="118" l="1"/>
  <c r="P35" i="118"/>
  <c r="O35" i="118" s="1"/>
  <c r="S35" i="118"/>
  <c r="R35" i="118" s="1"/>
  <c r="Q37" i="118" l="1"/>
  <c r="P36" i="118"/>
  <c r="O36" i="118" s="1"/>
  <c r="S36" i="118"/>
  <c r="R36" i="118" s="1"/>
  <c r="Q38" i="118" l="1"/>
  <c r="P37" i="118"/>
  <c r="O37" i="118" s="1"/>
  <c r="S37" i="118"/>
  <c r="R37" i="118" s="1"/>
  <c r="Q39" i="118" l="1"/>
  <c r="P38" i="118"/>
  <c r="O38" i="118" s="1"/>
  <c r="S38" i="118"/>
  <c r="R38" i="118" s="1"/>
  <c r="Q40" i="118" l="1"/>
  <c r="P39" i="118"/>
  <c r="O39" i="118" s="1"/>
  <c r="S39" i="118"/>
  <c r="R39" i="118" s="1"/>
  <c r="Q41" i="118" l="1"/>
  <c r="P40" i="118"/>
  <c r="O40" i="118" s="1"/>
  <c r="S40" i="118"/>
  <c r="R40" i="118" s="1"/>
  <c r="Q42" i="118" l="1"/>
  <c r="P41" i="118"/>
  <c r="O41" i="118" s="1"/>
  <c r="S41" i="118"/>
  <c r="R41" i="118" s="1"/>
  <c r="Q43" i="118" l="1"/>
  <c r="P42" i="118"/>
  <c r="O42" i="118" s="1"/>
  <c r="S42" i="118"/>
  <c r="R42" i="118" s="1"/>
  <c r="Q44" i="118" l="1"/>
  <c r="P43" i="118"/>
  <c r="O43" i="118" s="1"/>
  <c r="S43" i="118"/>
  <c r="R43" i="118" s="1"/>
  <c r="P44" i="118" l="1"/>
  <c r="O44" i="118" s="1"/>
  <c r="Q45" i="118"/>
  <c r="S44" i="118"/>
  <c r="R44" i="118" s="1"/>
  <c r="Q46" i="118" l="1"/>
  <c r="P45" i="118"/>
  <c r="O45" i="118" s="1"/>
  <c r="S45" i="118"/>
  <c r="R45" i="118" s="1"/>
  <c r="Q47" i="118" l="1"/>
  <c r="P46" i="118"/>
  <c r="O46" i="118" s="1"/>
  <c r="S46" i="118"/>
  <c r="R46" i="118" s="1"/>
  <c r="Q48" i="118" l="1"/>
  <c r="P47" i="118"/>
  <c r="O47" i="118" s="1"/>
  <c r="S47" i="118"/>
  <c r="R47" i="118" s="1"/>
  <c r="Q49" i="118" l="1"/>
  <c r="P48" i="118"/>
  <c r="O48" i="118" s="1"/>
  <c r="S48" i="118"/>
  <c r="R48" i="118" s="1"/>
  <c r="Q50" i="118" l="1"/>
  <c r="P49" i="118"/>
  <c r="O49" i="118" s="1"/>
  <c r="S49" i="118"/>
  <c r="R49" i="118" s="1"/>
  <c r="Q51" i="118" l="1"/>
  <c r="P50" i="118"/>
  <c r="O50" i="118" s="1"/>
  <c r="S50" i="118"/>
  <c r="R50" i="118" s="1"/>
  <c r="Q52" i="118" l="1"/>
  <c r="P51" i="118"/>
  <c r="O51" i="118" s="1"/>
  <c r="S51" i="118"/>
  <c r="R51" i="118" s="1"/>
  <c r="Q53" i="118" l="1"/>
  <c r="P52" i="118"/>
  <c r="O52" i="118" s="1"/>
  <c r="S52" i="118"/>
  <c r="R52" i="118" s="1"/>
  <c r="Q54" i="118" l="1"/>
  <c r="P53" i="118"/>
  <c r="O53" i="118" s="1"/>
  <c r="S53" i="118"/>
  <c r="R53" i="118" s="1"/>
  <c r="Q55" i="118" l="1"/>
  <c r="P54" i="118"/>
  <c r="O54" i="118" s="1"/>
  <c r="S54" i="118"/>
  <c r="R54" i="118" s="1"/>
  <c r="G59" i="119" l="1"/>
  <c r="Q7" i="119" s="1"/>
  <c r="P55" i="118"/>
  <c r="O55" i="118" s="1"/>
  <c r="S55" i="118"/>
  <c r="R55" i="118" s="1"/>
  <c r="Q8" i="119" l="1"/>
  <c r="P7" i="119"/>
  <c r="O7" i="119" s="1"/>
  <c r="S7" i="119"/>
  <c r="R7" i="119" s="1"/>
  <c r="S8" i="119"/>
  <c r="R8" i="119" s="1"/>
  <c r="Q9" i="119" l="1"/>
  <c r="P8" i="119"/>
  <c r="O8" i="119" s="1"/>
  <c r="Q10" i="119" l="1"/>
  <c r="P9" i="119"/>
  <c r="O9" i="119" s="1"/>
  <c r="S9" i="119"/>
  <c r="R9" i="119" s="1"/>
  <c r="S10" i="119"/>
  <c r="R10" i="119" s="1"/>
  <c r="Q11" i="119" l="1"/>
  <c r="P10" i="119"/>
  <c r="O10" i="119" s="1"/>
  <c r="P11" i="119" l="1"/>
  <c r="O11" i="119" s="1"/>
  <c r="Q12" i="119"/>
  <c r="S11" i="119"/>
  <c r="R11" i="119" s="1"/>
  <c r="S12" i="119"/>
  <c r="R12" i="119" s="1"/>
  <c r="P12" i="119" l="1"/>
  <c r="O12" i="119" s="1"/>
  <c r="Q13" i="119"/>
  <c r="Q14" i="119" l="1"/>
  <c r="P13" i="119"/>
  <c r="O13" i="119" s="1"/>
  <c r="S14" i="119"/>
  <c r="R14" i="119" s="1"/>
  <c r="S13" i="119"/>
  <c r="R13" i="119" s="1"/>
  <c r="Q15" i="119" l="1"/>
  <c r="P14" i="119"/>
  <c r="O14" i="119" s="1"/>
  <c r="Q16" i="119" l="1"/>
  <c r="P15" i="119"/>
  <c r="O15" i="119" s="1"/>
  <c r="S16" i="119"/>
  <c r="R16" i="119" s="1"/>
  <c r="S15" i="119"/>
  <c r="R15" i="119" s="1"/>
  <c r="Q17" i="119" l="1"/>
  <c r="P16" i="119"/>
  <c r="O16" i="119" s="1"/>
  <c r="P17" i="119" l="1"/>
  <c r="O17" i="119" s="1"/>
  <c r="Q18" i="119"/>
  <c r="S17" i="119"/>
  <c r="R17" i="119" s="1"/>
  <c r="Q19" i="119" l="1"/>
  <c r="P18" i="119"/>
  <c r="O18" i="119" s="1"/>
  <c r="S18" i="119"/>
  <c r="R18" i="119" s="1"/>
  <c r="Q20" i="119" l="1"/>
  <c r="P19" i="119"/>
  <c r="O19" i="119" s="1"/>
  <c r="S19" i="119"/>
  <c r="R19" i="119" s="1"/>
  <c r="P20" i="119" l="1"/>
  <c r="O20" i="119" s="1"/>
  <c r="Q21" i="119"/>
  <c r="S20" i="119"/>
  <c r="R20" i="119" s="1"/>
  <c r="Q22" i="119" l="1"/>
  <c r="P21" i="119"/>
  <c r="O21" i="119" s="1"/>
  <c r="S21" i="119"/>
  <c r="R21" i="119" s="1"/>
  <c r="Q23" i="119" l="1"/>
  <c r="P22" i="119"/>
  <c r="O22" i="119" s="1"/>
  <c r="S22" i="119"/>
  <c r="R22" i="119" s="1"/>
  <c r="P23" i="119" l="1"/>
  <c r="O23" i="119" s="1"/>
  <c r="Q24" i="119"/>
  <c r="S23" i="119"/>
  <c r="R23" i="119" s="1"/>
  <c r="P24" i="119" l="1"/>
  <c r="O24" i="119" s="1"/>
  <c r="Q25" i="119"/>
  <c r="S24" i="119"/>
  <c r="R24" i="119" s="1"/>
  <c r="Q26" i="119" l="1"/>
  <c r="P25" i="119"/>
  <c r="O25" i="119" s="1"/>
  <c r="S25" i="119"/>
  <c r="R25" i="119" s="1"/>
  <c r="Q27" i="119" l="1"/>
  <c r="P26" i="119"/>
  <c r="O26" i="119" s="1"/>
  <c r="S26" i="119"/>
  <c r="R26" i="119" s="1"/>
  <c r="Q28" i="119" l="1"/>
  <c r="P27" i="119"/>
  <c r="O27" i="119" s="1"/>
  <c r="S27" i="119"/>
  <c r="R27" i="119" s="1"/>
  <c r="Q29" i="119" l="1"/>
  <c r="P28" i="119"/>
  <c r="O28" i="119" s="1"/>
  <c r="S28" i="119"/>
  <c r="R28" i="119" s="1"/>
  <c r="Q30" i="119" l="1"/>
  <c r="P29" i="119"/>
  <c r="O29" i="119" s="1"/>
  <c r="S29" i="119"/>
  <c r="R29" i="119" s="1"/>
  <c r="Q31" i="119" l="1"/>
  <c r="P30" i="119"/>
  <c r="O30" i="119" s="1"/>
  <c r="S30" i="119"/>
  <c r="R30" i="119" s="1"/>
  <c r="Q32" i="119" l="1"/>
  <c r="P31" i="119"/>
  <c r="O31" i="119" s="1"/>
  <c r="S31" i="119"/>
  <c r="R31" i="119" s="1"/>
  <c r="Q33" i="119" l="1"/>
  <c r="P32" i="119"/>
  <c r="O32" i="119" s="1"/>
  <c r="S32" i="119"/>
  <c r="R32" i="119" s="1"/>
  <c r="Q34" i="119" l="1"/>
  <c r="P33" i="119"/>
  <c r="O33" i="119" s="1"/>
  <c r="S33" i="119"/>
  <c r="R33" i="119" s="1"/>
  <c r="P34" i="119" l="1"/>
  <c r="O34" i="119" s="1"/>
  <c r="Q35" i="119"/>
  <c r="S34" i="119"/>
  <c r="R34" i="119" s="1"/>
  <c r="Q36" i="119" l="1"/>
  <c r="P35" i="119"/>
  <c r="O35" i="119" s="1"/>
  <c r="S35" i="119"/>
  <c r="R35" i="119" s="1"/>
  <c r="Q37" i="119" l="1"/>
  <c r="P36" i="119"/>
  <c r="O36" i="119" s="1"/>
  <c r="S36" i="119"/>
  <c r="R36" i="119" s="1"/>
  <c r="P37" i="119" l="1"/>
  <c r="O37" i="119" s="1"/>
  <c r="Q38" i="119"/>
  <c r="S37" i="119"/>
  <c r="R37" i="119" s="1"/>
  <c r="P38" i="119" l="1"/>
  <c r="O38" i="119" s="1"/>
  <c r="Q39" i="119"/>
  <c r="S38" i="119"/>
  <c r="R38" i="119" s="1"/>
  <c r="Q40" i="119" l="1"/>
  <c r="P39" i="119"/>
  <c r="O39" i="119" s="1"/>
  <c r="S39" i="119"/>
  <c r="R39" i="119" s="1"/>
  <c r="Q41" i="119" l="1"/>
  <c r="P40" i="119"/>
  <c r="O40" i="119" s="1"/>
  <c r="S40" i="119"/>
  <c r="R40" i="119" s="1"/>
  <c r="Q42" i="119" l="1"/>
  <c r="P41" i="119"/>
  <c r="O41" i="119" s="1"/>
  <c r="S41" i="119"/>
  <c r="R41" i="119" s="1"/>
  <c r="Q43" i="119" l="1"/>
  <c r="P42" i="119"/>
  <c r="O42" i="119" s="1"/>
  <c r="S42" i="119"/>
  <c r="R42" i="119" s="1"/>
  <c r="Q44" i="119" l="1"/>
  <c r="P43" i="119"/>
  <c r="O43" i="119" s="1"/>
  <c r="S43" i="119"/>
  <c r="R43" i="119" s="1"/>
  <c r="P44" i="119" l="1"/>
  <c r="O44" i="119" s="1"/>
  <c r="Q45" i="119"/>
  <c r="S44" i="119"/>
  <c r="R44" i="119" s="1"/>
  <c r="P45" i="119" l="1"/>
  <c r="O45" i="119" s="1"/>
  <c r="Q46" i="119"/>
  <c r="S45" i="119"/>
  <c r="R45" i="119" s="1"/>
  <c r="Q47" i="119" l="1"/>
  <c r="P46" i="119"/>
  <c r="O46" i="119" s="1"/>
  <c r="S46" i="119"/>
  <c r="R46" i="119" s="1"/>
  <c r="P47" i="119" l="1"/>
  <c r="O47" i="119" s="1"/>
  <c r="Q48" i="119"/>
  <c r="S47" i="119"/>
  <c r="R47" i="119" s="1"/>
  <c r="P48" i="119" l="1"/>
  <c r="O48" i="119" s="1"/>
  <c r="Q49" i="119"/>
  <c r="S48" i="119"/>
  <c r="R48" i="119" s="1"/>
  <c r="P49" i="119" l="1"/>
  <c r="O49" i="119" s="1"/>
  <c r="Q50" i="119"/>
  <c r="S49" i="119"/>
  <c r="R49" i="119" s="1"/>
  <c r="P50" i="119" l="1"/>
  <c r="O50" i="119" s="1"/>
  <c r="Q51" i="119"/>
  <c r="S50" i="119"/>
  <c r="R50" i="119" s="1"/>
  <c r="P51" i="119" l="1"/>
  <c r="O51" i="119" s="1"/>
  <c r="Q52" i="119"/>
  <c r="S51" i="119"/>
  <c r="R51" i="119" s="1"/>
  <c r="P52" i="119" l="1"/>
  <c r="O52" i="119" s="1"/>
  <c r="Q53" i="119"/>
  <c r="S52" i="119"/>
  <c r="R52" i="119" s="1"/>
  <c r="P53" i="119" l="1"/>
  <c r="O53" i="119" s="1"/>
  <c r="Q54" i="119"/>
  <c r="S53" i="119"/>
  <c r="R53" i="119" s="1"/>
  <c r="Q55" i="119" l="1"/>
  <c r="P54" i="119"/>
  <c r="O54" i="119" s="1"/>
  <c r="S54" i="119"/>
  <c r="R54" i="119" s="1"/>
  <c r="G59" i="120" l="1"/>
  <c r="Q7" i="120" s="1"/>
  <c r="P55" i="119"/>
  <c r="O55" i="119" s="1"/>
  <c r="S55" i="119"/>
  <c r="R55" i="119" s="1"/>
  <c r="S7" i="120" l="1"/>
  <c r="R7" i="120" s="1"/>
  <c r="Q8" i="120"/>
  <c r="P7" i="120"/>
  <c r="O7" i="120" s="1"/>
  <c r="Q9" i="120" l="1"/>
  <c r="P8" i="120"/>
  <c r="O8" i="120" s="1"/>
  <c r="S8" i="120"/>
  <c r="R8" i="120" s="1"/>
  <c r="P9" i="120" l="1"/>
  <c r="O9" i="120" s="1"/>
  <c r="Q10" i="120"/>
  <c r="S9" i="120"/>
  <c r="R9" i="120" s="1"/>
  <c r="S10" i="120"/>
  <c r="R10" i="120" s="1"/>
  <c r="P10" i="120" l="1"/>
  <c r="O10" i="120" s="1"/>
  <c r="Q11" i="120"/>
  <c r="Q12" i="120" l="1"/>
  <c r="P11" i="120"/>
  <c r="O11" i="120" s="1"/>
  <c r="S11" i="120"/>
  <c r="R11" i="120" s="1"/>
  <c r="S12" i="120"/>
  <c r="R12" i="120" s="1"/>
  <c r="Q13" i="120" l="1"/>
  <c r="P12" i="120"/>
  <c r="O12" i="120" s="1"/>
  <c r="P13" i="120" l="1"/>
  <c r="O13" i="120" s="1"/>
  <c r="Q14" i="120"/>
  <c r="S14" i="120" s="1"/>
  <c r="R14" i="120" s="1"/>
  <c r="S13" i="120"/>
  <c r="R13" i="120" s="1"/>
  <c r="P14" i="120" l="1"/>
  <c r="O14" i="120" s="1"/>
  <c r="Q15" i="120"/>
  <c r="Q16" i="120" l="1"/>
  <c r="P15" i="120"/>
  <c r="O15" i="120" s="1"/>
  <c r="S16" i="120"/>
  <c r="R16" i="120" s="1"/>
  <c r="S15" i="120"/>
  <c r="R15" i="120" s="1"/>
  <c r="Q17" i="120" l="1"/>
  <c r="P16" i="120"/>
  <c r="O16" i="120" s="1"/>
  <c r="P17" i="120" l="1"/>
  <c r="O17" i="120" s="1"/>
  <c r="Q18" i="120"/>
  <c r="S17" i="120"/>
  <c r="R17" i="120" s="1"/>
  <c r="P18" i="120" l="1"/>
  <c r="O18" i="120" s="1"/>
  <c r="Q19" i="120"/>
  <c r="S18" i="120"/>
  <c r="R18" i="120" s="1"/>
  <c r="Q20" i="120" l="1"/>
  <c r="P19" i="120"/>
  <c r="O19" i="120" s="1"/>
  <c r="S19" i="120"/>
  <c r="R19" i="120" s="1"/>
  <c r="Q21" i="120" l="1"/>
  <c r="P20" i="120"/>
  <c r="O20" i="120" s="1"/>
  <c r="S20" i="120"/>
  <c r="R20" i="120" s="1"/>
  <c r="Q22" i="120" l="1"/>
  <c r="P21" i="120"/>
  <c r="O21" i="120" s="1"/>
  <c r="S21" i="120"/>
  <c r="R21" i="120" s="1"/>
  <c r="Q23" i="120" l="1"/>
  <c r="P22" i="120"/>
  <c r="O22" i="120" s="1"/>
  <c r="S22" i="120"/>
  <c r="R22" i="120" s="1"/>
  <c r="Q24" i="120" l="1"/>
  <c r="P23" i="120"/>
  <c r="O23" i="120" s="1"/>
  <c r="S23" i="120"/>
  <c r="R23" i="120" s="1"/>
  <c r="Q25" i="120" l="1"/>
  <c r="P24" i="120"/>
  <c r="O24" i="120" s="1"/>
  <c r="S24" i="120"/>
  <c r="R24" i="120" s="1"/>
  <c r="Q26" i="120" l="1"/>
  <c r="P25" i="120"/>
  <c r="O25" i="120" s="1"/>
  <c r="S25" i="120"/>
  <c r="R25" i="120" s="1"/>
  <c r="Q27" i="120" l="1"/>
  <c r="P26" i="120"/>
  <c r="O26" i="120" s="1"/>
  <c r="S26" i="120"/>
  <c r="R26" i="120" s="1"/>
  <c r="Q28" i="120" l="1"/>
  <c r="P27" i="120"/>
  <c r="O27" i="120" s="1"/>
  <c r="S27" i="120"/>
  <c r="R27" i="120" s="1"/>
  <c r="Q29" i="120" l="1"/>
  <c r="P28" i="120"/>
  <c r="O28" i="120" s="1"/>
  <c r="S28" i="120"/>
  <c r="R28" i="120" s="1"/>
  <c r="Q30" i="120" l="1"/>
  <c r="P29" i="120"/>
  <c r="O29" i="120" s="1"/>
  <c r="S29" i="120"/>
  <c r="R29" i="120" s="1"/>
  <c r="P30" i="120" l="1"/>
  <c r="O30" i="120" s="1"/>
  <c r="Q31" i="120"/>
  <c r="S30" i="120"/>
  <c r="R30" i="120" s="1"/>
  <c r="P31" i="120" l="1"/>
  <c r="O31" i="120" s="1"/>
  <c r="Q32" i="120"/>
  <c r="S31" i="120"/>
  <c r="R31" i="120" s="1"/>
  <c r="Q33" i="120" l="1"/>
  <c r="P32" i="120"/>
  <c r="O32" i="120" s="1"/>
  <c r="S32" i="120"/>
  <c r="R32" i="120" s="1"/>
  <c r="P33" i="120" l="1"/>
  <c r="O33" i="120" s="1"/>
  <c r="Q34" i="120"/>
  <c r="S33" i="120"/>
  <c r="R33" i="120" s="1"/>
  <c r="Q35" i="120" l="1"/>
  <c r="P34" i="120"/>
  <c r="O34" i="120" s="1"/>
  <c r="S34" i="120"/>
  <c r="R34" i="120" s="1"/>
  <c r="Q36" i="120" l="1"/>
  <c r="P35" i="120"/>
  <c r="O35" i="120" s="1"/>
  <c r="S35" i="120"/>
  <c r="R35" i="120" s="1"/>
  <c r="Q37" i="120" l="1"/>
  <c r="P36" i="120"/>
  <c r="O36" i="120" s="1"/>
  <c r="S36" i="120"/>
  <c r="R36" i="120" s="1"/>
  <c r="P37" i="120" l="1"/>
  <c r="O37" i="120" s="1"/>
  <c r="Q38" i="120"/>
  <c r="S37" i="120"/>
  <c r="R37" i="120" s="1"/>
  <c r="Q39" i="120" l="1"/>
  <c r="P38" i="120"/>
  <c r="O38" i="120" s="1"/>
  <c r="S38" i="120"/>
  <c r="R38" i="120" s="1"/>
  <c r="Q40" i="120" l="1"/>
  <c r="P39" i="120"/>
  <c r="O39" i="120" s="1"/>
  <c r="S39" i="120"/>
  <c r="R39" i="120" s="1"/>
  <c r="Q41" i="120" l="1"/>
  <c r="P40" i="120"/>
  <c r="O40" i="120" s="1"/>
  <c r="S40" i="120"/>
  <c r="R40" i="120" s="1"/>
  <c r="Q42" i="120" l="1"/>
  <c r="P41" i="120"/>
  <c r="O41" i="120" s="1"/>
  <c r="S41" i="120"/>
  <c r="R41" i="120" s="1"/>
  <c r="Q43" i="120" l="1"/>
  <c r="P42" i="120"/>
  <c r="O42" i="120" s="1"/>
  <c r="S42" i="120"/>
  <c r="R42" i="120" s="1"/>
  <c r="Q44" i="120" l="1"/>
  <c r="P43" i="120"/>
  <c r="O43" i="120" s="1"/>
  <c r="S43" i="120"/>
  <c r="R43" i="120" s="1"/>
  <c r="Q45" i="120" l="1"/>
  <c r="P44" i="120"/>
  <c r="O44" i="120" s="1"/>
  <c r="S44" i="120"/>
  <c r="R44" i="120" s="1"/>
  <c r="Q46" i="120" l="1"/>
  <c r="P45" i="120"/>
  <c r="O45" i="120" s="1"/>
  <c r="S45" i="120"/>
  <c r="R45" i="120" s="1"/>
  <c r="Q47" i="120" l="1"/>
  <c r="P46" i="120"/>
  <c r="O46" i="120" s="1"/>
  <c r="S46" i="120"/>
  <c r="R46" i="120" s="1"/>
  <c r="P47" i="120" l="1"/>
  <c r="O47" i="120" s="1"/>
  <c r="Q48" i="120"/>
  <c r="S47" i="120"/>
  <c r="R47" i="120" s="1"/>
  <c r="Q49" i="120" l="1"/>
  <c r="P48" i="120"/>
  <c r="O48" i="120" s="1"/>
  <c r="S48" i="120"/>
  <c r="R48" i="120" s="1"/>
  <c r="Q50" i="120" l="1"/>
  <c r="P49" i="120"/>
  <c r="O49" i="120" s="1"/>
  <c r="S49" i="120"/>
  <c r="R49" i="120" s="1"/>
  <c r="P50" i="120" l="1"/>
  <c r="O50" i="120" s="1"/>
  <c r="Q51" i="120"/>
  <c r="S50" i="120"/>
  <c r="R50" i="120" s="1"/>
  <c r="P51" i="120" l="1"/>
  <c r="O51" i="120" s="1"/>
  <c r="Q52" i="120"/>
  <c r="S51" i="120"/>
  <c r="R51" i="120" s="1"/>
  <c r="P52" i="120" l="1"/>
  <c r="O52" i="120" s="1"/>
  <c r="Q53" i="120"/>
  <c r="S52" i="120"/>
  <c r="R52" i="120" s="1"/>
  <c r="S53" i="120" l="1"/>
  <c r="R53" i="120" s="1"/>
  <c r="Q54" i="120"/>
  <c r="P53" i="120"/>
  <c r="O53" i="120" s="1"/>
  <c r="S54" i="120" l="1"/>
  <c r="R54" i="120" s="1"/>
  <c r="P54" i="120"/>
  <c r="O54" i="120" s="1"/>
  <c r="Q55" i="120"/>
  <c r="P55" i="120" l="1"/>
  <c r="O55" i="120" s="1"/>
  <c r="G59" i="121"/>
  <c r="Q7" i="121" s="1"/>
  <c r="S55" i="120"/>
  <c r="R55" i="120" s="1"/>
  <c r="Q8" i="121" l="1"/>
  <c r="S7" i="121"/>
  <c r="R7" i="121" s="1"/>
  <c r="S8" i="121"/>
  <c r="R8" i="121" s="1"/>
  <c r="P7" i="121"/>
  <c r="O7" i="121" s="1"/>
  <c r="Q9" i="121" l="1"/>
  <c r="P8" i="121"/>
  <c r="O8" i="121" s="1"/>
  <c r="P9" i="121" l="1"/>
  <c r="O9" i="121" s="1"/>
  <c r="Q10" i="121"/>
  <c r="S9" i="121"/>
  <c r="R9" i="121" s="1"/>
  <c r="S10" i="121"/>
  <c r="R10" i="121" s="1"/>
  <c r="P10" i="121" l="1"/>
  <c r="O10" i="121" s="1"/>
  <c r="Q11" i="121"/>
  <c r="Q12" i="121" l="1"/>
  <c r="P11" i="121"/>
  <c r="O11" i="121" s="1"/>
  <c r="S12" i="121"/>
  <c r="R12" i="121" s="1"/>
  <c r="S11" i="121"/>
  <c r="R11" i="121" s="1"/>
  <c r="Q13" i="121" l="1"/>
  <c r="P12" i="121"/>
  <c r="O12" i="121" s="1"/>
  <c r="Q14" i="121" l="1"/>
  <c r="P13" i="121"/>
  <c r="O13" i="121" s="1"/>
  <c r="S14" i="121"/>
  <c r="R14" i="121" s="1"/>
  <c r="S13" i="121"/>
  <c r="R13" i="121" s="1"/>
  <c r="Q15" i="121" l="1"/>
  <c r="P14" i="121"/>
  <c r="O14" i="121" s="1"/>
  <c r="P15" i="121" l="1"/>
  <c r="O15" i="121" s="1"/>
  <c r="Q16" i="121"/>
  <c r="S15" i="121"/>
  <c r="R15" i="121" s="1"/>
  <c r="S16" i="121"/>
  <c r="R16" i="121" s="1"/>
  <c r="P16" i="121" l="1"/>
  <c r="O16" i="121" s="1"/>
  <c r="Q17" i="121"/>
  <c r="Q18" i="121" l="1"/>
  <c r="P17" i="121"/>
  <c r="O17" i="121" s="1"/>
  <c r="S17" i="121"/>
  <c r="R17" i="121" s="1"/>
  <c r="Q19" i="121" l="1"/>
  <c r="P18" i="121"/>
  <c r="O18" i="121" s="1"/>
  <c r="S18" i="121"/>
  <c r="R18" i="121" s="1"/>
  <c r="Q20" i="121" l="1"/>
  <c r="P19" i="121"/>
  <c r="O19" i="121" s="1"/>
  <c r="S19" i="121"/>
  <c r="R19" i="121" s="1"/>
  <c r="Q21" i="121" l="1"/>
  <c r="P20" i="121"/>
  <c r="O20" i="121" s="1"/>
  <c r="S20" i="121"/>
  <c r="R20" i="121" s="1"/>
  <c r="P21" i="121" l="1"/>
  <c r="O21" i="121" s="1"/>
  <c r="Q22" i="121"/>
  <c r="S21" i="121"/>
  <c r="R21" i="121" s="1"/>
  <c r="Q23" i="121" l="1"/>
  <c r="P22" i="121"/>
  <c r="O22" i="121" s="1"/>
  <c r="S22" i="121"/>
  <c r="R22" i="121" s="1"/>
  <c r="P23" i="121" l="1"/>
  <c r="O23" i="121" s="1"/>
  <c r="Q24" i="121"/>
  <c r="S23" i="121"/>
  <c r="R23" i="121" s="1"/>
  <c r="Q25" i="121" l="1"/>
  <c r="P24" i="121"/>
  <c r="O24" i="121" s="1"/>
  <c r="S24" i="121"/>
  <c r="R24" i="121" s="1"/>
  <c r="Q26" i="121" l="1"/>
  <c r="P25" i="121"/>
  <c r="O25" i="121" s="1"/>
  <c r="S25" i="121"/>
  <c r="R25" i="121" s="1"/>
  <c r="Q27" i="121" l="1"/>
  <c r="P26" i="121"/>
  <c r="O26" i="121" s="1"/>
  <c r="S26" i="121"/>
  <c r="R26" i="121" s="1"/>
  <c r="Q28" i="121" l="1"/>
  <c r="P27" i="121"/>
  <c r="O27" i="121" s="1"/>
  <c r="S27" i="121"/>
  <c r="R27" i="121" s="1"/>
  <c r="Q29" i="121" l="1"/>
  <c r="P28" i="121"/>
  <c r="O28" i="121" s="1"/>
  <c r="S28" i="121"/>
  <c r="R28" i="121" s="1"/>
  <c r="Q30" i="121" l="1"/>
  <c r="P29" i="121"/>
  <c r="O29" i="121" s="1"/>
  <c r="S29" i="121"/>
  <c r="R29" i="121" s="1"/>
  <c r="P30" i="121" l="1"/>
  <c r="O30" i="121" s="1"/>
  <c r="Q31" i="121"/>
  <c r="S30" i="121"/>
  <c r="R30" i="121" s="1"/>
  <c r="P31" i="121" l="1"/>
  <c r="O31" i="121" s="1"/>
  <c r="Q32" i="121"/>
  <c r="S31" i="121"/>
  <c r="R31" i="121" s="1"/>
  <c r="Q33" i="121" l="1"/>
  <c r="P32" i="121"/>
  <c r="O32" i="121" s="1"/>
  <c r="S32" i="121"/>
  <c r="R32" i="121" s="1"/>
  <c r="P33" i="121" l="1"/>
  <c r="O33" i="121" s="1"/>
  <c r="Q34" i="121"/>
  <c r="S33" i="121"/>
  <c r="R33" i="121" s="1"/>
  <c r="Q35" i="121" l="1"/>
  <c r="P34" i="121"/>
  <c r="O34" i="121" s="1"/>
  <c r="S34" i="121"/>
  <c r="R34" i="121" s="1"/>
  <c r="Q36" i="121" l="1"/>
  <c r="P35" i="121"/>
  <c r="O35" i="121" s="1"/>
  <c r="S35" i="121"/>
  <c r="R35" i="121" s="1"/>
  <c r="Q37" i="121" l="1"/>
  <c r="P36" i="121"/>
  <c r="O36" i="121" s="1"/>
  <c r="S36" i="121"/>
  <c r="R36" i="121" s="1"/>
  <c r="Q38" i="121" l="1"/>
  <c r="P37" i="121"/>
  <c r="O37" i="121" s="1"/>
  <c r="S37" i="121"/>
  <c r="R37" i="121" s="1"/>
  <c r="P38" i="121" l="1"/>
  <c r="O38" i="121" s="1"/>
  <c r="Q39" i="121"/>
  <c r="S38" i="121"/>
  <c r="R38" i="121" s="1"/>
  <c r="P39" i="121" l="1"/>
  <c r="O39" i="121" s="1"/>
  <c r="Q40" i="121"/>
  <c r="S39" i="121"/>
  <c r="R39" i="121" s="1"/>
  <c r="Q41" i="121" l="1"/>
  <c r="P40" i="121"/>
  <c r="O40" i="121" s="1"/>
  <c r="S40" i="121"/>
  <c r="R40" i="121" s="1"/>
  <c r="Q42" i="121" l="1"/>
  <c r="P41" i="121"/>
  <c r="O41" i="121" s="1"/>
  <c r="S41" i="121"/>
  <c r="R41" i="121" s="1"/>
  <c r="Q43" i="121" l="1"/>
  <c r="P42" i="121"/>
  <c r="O42" i="121" s="1"/>
  <c r="S42" i="121"/>
  <c r="R42" i="121" s="1"/>
  <c r="Q44" i="121" l="1"/>
  <c r="P43" i="121"/>
  <c r="O43" i="121" s="1"/>
  <c r="S43" i="121"/>
  <c r="R43" i="121" s="1"/>
  <c r="Q45" i="121" l="1"/>
  <c r="P44" i="121"/>
  <c r="O44" i="121" s="1"/>
  <c r="S44" i="121"/>
  <c r="R44" i="121" s="1"/>
  <c r="Q46" i="121" l="1"/>
  <c r="P45" i="121"/>
  <c r="O45" i="121" s="1"/>
  <c r="S45" i="121"/>
  <c r="R45" i="121" s="1"/>
  <c r="S46" i="121" l="1"/>
  <c r="R46" i="121" s="1"/>
  <c r="P46" i="121"/>
  <c r="O46" i="121" s="1"/>
  <c r="Q47" i="121"/>
  <c r="S47" i="121" l="1"/>
  <c r="R47" i="121" s="1"/>
  <c r="Q48" i="121"/>
  <c r="P47" i="121"/>
  <c r="O47" i="121" s="1"/>
  <c r="S48" i="121" l="1"/>
  <c r="R48" i="121" s="1"/>
  <c r="Q49" i="121"/>
  <c r="P48" i="121"/>
  <c r="O48" i="121" s="1"/>
  <c r="S49" i="121" l="1"/>
  <c r="R49" i="121" s="1"/>
  <c r="Q50" i="121"/>
  <c r="P49" i="121"/>
  <c r="O49" i="121" s="1"/>
  <c r="S50" i="121" l="1"/>
  <c r="R50" i="121" s="1"/>
  <c r="Q51" i="121"/>
  <c r="P50" i="121"/>
  <c r="O50" i="121" s="1"/>
  <c r="P51" i="121" l="1"/>
  <c r="O51" i="121" s="1"/>
  <c r="Q52" i="121"/>
  <c r="S51" i="121"/>
  <c r="R51" i="121" s="1"/>
  <c r="P52" i="121" l="1"/>
  <c r="O52" i="121" s="1"/>
  <c r="Q53" i="121"/>
  <c r="S52" i="121"/>
  <c r="R52" i="121" s="1"/>
  <c r="Q54" i="121" l="1"/>
  <c r="P53" i="121"/>
  <c r="O53" i="121" s="1"/>
  <c r="S53" i="121"/>
  <c r="R53" i="121" s="1"/>
  <c r="Q55" i="121" l="1"/>
  <c r="P54" i="121"/>
  <c r="O54" i="121" s="1"/>
  <c r="S54" i="121"/>
  <c r="R54" i="121" s="1"/>
  <c r="G45" i="122" l="1"/>
  <c r="P55" i="121"/>
  <c r="O55" i="121" s="1"/>
  <c r="S55" i="121"/>
  <c r="R55" i="121" s="1"/>
  <c r="Q7" i="122" l="1"/>
  <c r="P7" i="122" l="1"/>
  <c r="O7" i="122" s="1"/>
  <c r="S7" i="122"/>
  <c r="R7" i="122" s="1"/>
  <c r="Q8" i="122"/>
  <c r="P8" i="122" l="1"/>
  <c r="O8" i="122" s="1"/>
  <c r="Q9" i="122"/>
  <c r="S8" i="122"/>
  <c r="R8" i="122" s="1"/>
  <c r="P9" i="122" l="1"/>
  <c r="O9" i="122" s="1"/>
  <c r="Q10" i="122"/>
  <c r="S9" i="122"/>
  <c r="R9" i="122" s="1"/>
  <c r="Q11" i="122" l="1"/>
  <c r="P10" i="122"/>
  <c r="O10" i="122" s="1"/>
  <c r="S10" i="122"/>
  <c r="R10" i="122" s="1"/>
  <c r="S11" i="122" l="1"/>
  <c r="R11" i="122" s="1"/>
  <c r="P11" i="122"/>
  <c r="O11" i="122" s="1"/>
  <c r="Q12" i="122"/>
  <c r="Q13" i="122" l="1"/>
  <c r="P12" i="122"/>
  <c r="O12" i="122" s="1"/>
  <c r="S13" i="122"/>
  <c r="R13" i="122" s="1"/>
  <c r="S12" i="122"/>
  <c r="R12" i="122" s="1"/>
  <c r="Q14" i="122" l="1"/>
  <c r="P13" i="122"/>
  <c r="O13" i="122" s="1"/>
  <c r="S14" i="122"/>
  <c r="R14" i="122" s="1"/>
  <c r="Q15" i="122" l="1"/>
  <c r="P14" i="122"/>
  <c r="O14" i="122" s="1"/>
  <c r="Q16" i="122" l="1"/>
  <c r="P15" i="122"/>
  <c r="O15" i="122" s="1"/>
  <c r="S15" i="122"/>
  <c r="R15" i="122" s="1"/>
  <c r="P16" i="122" l="1"/>
  <c r="O16" i="122" s="1"/>
  <c r="Q17" i="122"/>
  <c r="S16" i="122"/>
  <c r="R16" i="122" s="1"/>
  <c r="P17" i="122" l="1"/>
  <c r="O17" i="122" s="1"/>
  <c r="Q18" i="122"/>
  <c r="S17" i="122"/>
  <c r="R17" i="122" s="1"/>
  <c r="Q19" i="122" l="1"/>
  <c r="P18" i="122"/>
  <c r="O18" i="122" s="1"/>
  <c r="S18" i="122"/>
  <c r="R18" i="122" s="1"/>
  <c r="Q20" i="122" l="1"/>
  <c r="P19" i="122"/>
  <c r="O19" i="122" s="1"/>
  <c r="S19" i="122"/>
  <c r="R19" i="122" s="1"/>
  <c r="Q21" i="122" l="1"/>
  <c r="P20" i="122"/>
  <c r="O20" i="122" s="1"/>
  <c r="S20" i="122"/>
  <c r="R20" i="122" s="1"/>
  <c r="Q22" i="122" l="1"/>
  <c r="P21" i="122"/>
  <c r="O21" i="122" s="1"/>
  <c r="S21" i="122"/>
  <c r="R21" i="122" s="1"/>
  <c r="Q23" i="122" l="1"/>
  <c r="P22" i="122"/>
  <c r="O22" i="122" s="1"/>
  <c r="S22" i="122"/>
  <c r="R22" i="122" s="1"/>
  <c r="Q24" i="122" l="1"/>
  <c r="P23" i="122"/>
  <c r="O23" i="122" s="1"/>
  <c r="S23" i="122"/>
  <c r="R23" i="122" s="1"/>
  <c r="P24" i="122" l="1"/>
  <c r="O24" i="122" s="1"/>
  <c r="Q25" i="122"/>
  <c r="S24" i="122"/>
  <c r="R24" i="122" s="1"/>
  <c r="P25" i="122" l="1"/>
  <c r="O25" i="122" s="1"/>
  <c r="Q26" i="122"/>
  <c r="S25" i="122"/>
  <c r="R25" i="122" s="1"/>
  <c r="Q27" i="122" l="1"/>
  <c r="P26" i="122"/>
  <c r="O26" i="122" s="1"/>
  <c r="S26" i="122"/>
  <c r="R26" i="122" s="1"/>
  <c r="Q28" i="122" l="1"/>
  <c r="P27" i="122"/>
  <c r="O27" i="122" s="1"/>
  <c r="S27" i="122"/>
  <c r="R27" i="122" s="1"/>
  <c r="Q29" i="122" l="1"/>
  <c r="P28" i="122"/>
  <c r="O28" i="122" s="1"/>
  <c r="S28" i="122"/>
  <c r="R28" i="122" s="1"/>
  <c r="Q30" i="122" l="1"/>
  <c r="P29" i="122"/>
  <c r="O29" i="122" s="1"/>
  <c r="S29" i="122"/>
  <c r="R29" i="122" s="1"/>
  <c r="Q31" i="122" l="1"/>
  <c r="P30" i="122"/>
  <c r="O30" i="122" s="1"/>
  <c r="S30" i="122"/>
  <c r="R30" i="122" s="1"/>
  <c r="Q32" i="122" l="1"/>
  <c r="P31" i="122"/>
  <c r="O31" i="122" s="1"/>
  <c r="S31" i="122"/>
  <c r="R31" i="122" s="1"/>
  <c r="Q33" i="122" l="1"/>
  <c r="P32" i="122"/>
  <c r="O32" i="122" s="1"/>
  <c r="S32" i="122"/>
  <c r="R32" i="122" s="1"/>
  <c r="Q34" i="122" l="1"/>
  <c r="P33" i="122"/>
  <c r="O33" i="122" s="1"/>
  <c r="S33" i="122"/>
  <c r="R33" i="122" s="1"/>
  <c r="Q35" i="122" l="1"/>
  <c r="P34" i="122"/>
  <c r="O34" i="122" s="1"/>
  <c r="S34" i="122"/>
  <c r="R34" i="122" s="1"/>
  <c r="Q36" i="122" l="1"/>
  <c r="P35" i="122"/>
  <c r="O35" i="122" s="1"/>
  <c r="S35" i="122"/>
  <c r="R35" i="122" s="1"/>
  <c r="P36" i="122" l="1"/>
  <c r="O36" i="122" s="1"/>
  <c r="Q37" i="122"/>
  <c r="S36" i="122"/>
  <c r="R36" i="122" s="1"/>
  <c r="Q38" i="122" l="1"/>
  <c r="P37" i="122"/>
  <c r="O37" i="122" s="1"/>
  <c r="S37" i="122"/>
  <c r="R37" i="122" s="1"/>
  <c r="Q39" i="122" l="1"/>
  <c r="P38" i="122"/>
  <c r="O38" i="122" s="1"/>
  <c r="S38" i="122"/>
  <c r="R38" i="122" s="1"/>
  <c r="Q40" i="122" l="1"/>
  <c r="P39" i="122"/>
  <c r="O39" i="122" s="1"/>
  <c r="S39" i="122"/>
  <c r="R39" i="122" s="1"/>
  <c r="Q41" i="122" l="1"/>
  <c r="P40" i="122"/>
  <c r="O40" i="122" s="1"/>
  <c r="S40" i="122"/>
  <c r="R40" i="122" s="1"/>
  <c r="S41" i="122" l="1"/>
  <c r="R41" i="122" s="1"/>
  <c r="G45" i="123"/>
  <c r="Q7" i="123" s="1"/>
  <c r="P41" i="122"/>
  <c r="O41" i="122" s="1"/>
  <c r="P7" i="123" l="1"/>
  <c r="O7" i="123" s="1"/>
  <c r="S7" i="123"/>
  <c r="R7" i="123" s="1"/>
  <c r="Q8" i="123"/>
  <c r="S8" i="123" s="1"/>
  <c r="R8" i="123" s="1"/>
  <c r="P8" i="123" l="1"/>
  <c r="O8" i="123" s="1"/>
  <c r="Q9" i="123"/>
  <c r="Q10" i="123" l="1"/>
  <c r="P9" i="123"/>
  <c r="O9" i="123" s="1"/>
  <c r="S9" i="123"/>
  <c r="R9" i="123" s="1"/>
  <c r="S10" i="123" l="1"/>
  <c r="R10" i="123" s="1"/>
  <c r="P10" i="123"/>
  <c r="O10" i="123" s="1"/>
  <c r="Q11" i="123"/>
  <c r="P11" i="123" l="1"/>
  <c r="O11" i="123" s="1"/>
  <c r="Q12" i="123"/>
  <c r="S12" i="123" s="1"/>
  <c r="R12" i="123" s="1"/>
  <c r="S11" i="123"/>
  <c r="R11" i="123" s="1"/>
  <c r="Q13" i="123" l="1"/>
  <c r="P12" i="123"/>
  <c r="O12" i="123" s="1"/>
  <c r="Q14" i="123" l="1"/>
  <c r="P13" i="123"/>
  <c r="O13" i="123" s="1"/>
  <c r="S14" i="123"/>
  <c r="R14" i="123" s="1"/>
  <c r="S13" i="123"/>
  <c r="R13" i="123" s="1"/>
  <c r="Q15" i="123" l="1"/>
  <c r="P14" i="123"/>
  <c r="O14" i="123" s="1"/>
  <c r="Q16" i="123" l="1"/>
  <c r="P15" i="123"/>
  <c r="O15" i="123" s="1"/>
  <c r="S15" i="123"/>
  <c r="R15" i="123" s="1"/>
  <c r="S16" i="123"/>
  <c r="R16" i="123" s="1"/>
  <c r="P16" i="123" l="1"/>
  <c r="O16" i="123" s="1"/>
  <c r="Q17" i="123"/>
  <c r="P17" i="123" l="1"/>
  <c r="O17" i="123" s="1"/>
  <c r="Q18" i="123"/>
  <c r="S17" i="123"/>
  <c r="R17" i="123" s="1"/>
  <c r="Q19" i="123" l="1"/>
  <c r="P18" i="123"/>
  <c r="O18" i="123" s="1"/>
  <c r="S18" i="123"/>
  <c r="R18" i="123" s="1"/>
  <c r="P19" i="123" l="1"/>
  <c r="O19" i="123" s="1"/>
  <c r="Q20" i="123"/>
  <c r="S19" i="123"/>
  <c r="R19" i="123" s="1"/>
  <c r="Q21" i="123" l="1"/>
  <c r="P20" i="123"/>
  <c r="O20" i="123" s="1"/>
  <c r="S20" i="123"/>
  <c r="R20" i="123" s="1"/>
  <c r="Q22" i="123" l="1"/>
  <c r="P21" i="123"/>
  <c r="O21" i="123" s="1"/>
  <c r="S21" i="123"/>
  <c r="R21" i="123" s="1"/>
  <c r="Q23" i="123" l="1"/>
  <c r="P22" i="123"/>
  <c r="O22" i="123" s="1"/>
  <c r="S22" i="123"/>
  <c r="R22" i="123" s="1"/>
  <c r="Q24" i="123" l="1"/>
  <c r="P23" i="123"/>
  <c r="O23" i="123" s="1"/>
  <c r="S23" i="123"/>
  <c r="R23" i="123" s="1"/>
  <c r="Q25" i="123" l="1"/>
  <c r="P24" i="123"/>
  <c r="O24" i="123" s="1"/>
  <c r="S24" i="123"/>
  <c r="R24" i="123" s="1"/>
  <c r="Q26" i="123" l="1"/>
  <c r="P25" i="123"/>
  <c r="O25" i="123" s="1"/>
  <c r="S25" i="123"/>
  <c r="R25" i="123" s="1"/>
  <c r="Q27" i="123" l="1"/>
  <c r="P26" i="123"/>
  <c r="O26" i="123" s="1"/>
  <c r="S26" i="123"/>
  <c r="R26" i="123" s="1"/>
  <c r="Q28" i="123" l="1"/>
  <c r="P27" i="123"/>
  <c r="O27" i="123" s="1"/>
  <c r="S27" i="123"/>
  <c r="R27" i="123" s="1"/>
  <c r="Q29" i="123" l="1"/>
  <c r="P28" i="123"/>
  <c r="O28" i="123" s="1"/>
  <c r="S28" i="123"/>
  <c r="R28" i="123" s="1"/>
  <c r="Q30" i="123" l="1"/>
  <c r="P29" i="123"/>
  <c r="O29" i="123" s="1"/>
  <c r="S29" i="123"/>
  <c r="R29" i="123" s="1"/>
  <c r="Q31" i="123" l="1"/>
  <c r="P30" i="123"/>
  <c r="O30" i="123" s="1"/>
  <c r="S30" i="123"/>
  <c r="R30" i="123" s="1"/>
  <c r="Q32" i="123" l="1"/>
  <c r="P31" i="123"/>
  <c r="O31" i="123" s="1"/>
  <c r="S31" i="123"/>
  <c r="R31" i="123" s="1"/>
  <c r="Q33" i="123" l="1"/>
  <c r="P32" i="123"/>
  <c r="O32" i="123" s="1"/>
  <c r="S32" i="123"/>
  <c r="R32" i="123" s="1"/>
  <c r="Q34" i="123" l="1"/>
  <c r="P33" i="123"/>
  <c r="O33" i="123" s="1"/>
  <c r="S33" i="123"/>
  <c r="R33" i="123" s="1"/>
  <c r="Q35" i="123" l="1"/>
  <c r="P34" i="123"/>
  <c r="O34" i="123" s="1"/>
  <c r="S34" i="123"/>
  <c r="R34" i="123" s="1"/>
  <c r="Q36" i="123" l="1"/>
  <c r="P35" i="123"/>
  <c r="O35" i="123" s="1"/>
  <c r="S35" i="123"/>
  <c r="R35" i="123" s="1"/>
  <c r="Q37" i="123" l="1"/>
  <c r="P36" i="123"/>
  <c r="O36" i="123" s="1"/>
  <c r="S36" i="123"/>
  <c r="R36" i="123" s="1"/>
  <c r="P37" i="123" l="1"/>
  <c r="O37" i="123" s="1"/>
  <c r="Q38" i="123"/>
  <c r="S37" i="123"/>
  <c r="R37" i="123" s="1"/>
  <c r="P38" i="123" l="1"/>
  <c r="O38" i="123" s="1"/>
  <c r="Q39" i="123"/>
  <c r="S38" i="123"/>
  <c r="R38" i="123" s="1"/>
  <c r="Q40" i="123" l="1"/>
  <c r="P39" i="123"/>
  <c r="O39" i="123" s="1"/>
  <c r="S39" i="123"/>
  <c r="R39" i="123" s="1"/>
  <c r="Q41" i="123" l="1"/>
  <c r="P40" i="123"/>
  <c r="O40" i="123" s="1"/>
  <c r="S40" i="123"/>
  <c r="R40" i="123" s="1"/>
  <c r="G66" i="124" l="1"/>
  <c r="Q7" i="124" s="1"/>
  <c r="P41" i="123"/>
  <c r="O41" i="123" s="1"/>
  <c r="S41" i="123"/>
  <c r="R41" i="123" s="1"/>
  <c r="Q8" i="124" l="1"/>
  <c r="S8" i="124"/>
  <c r="R8" i="124" s="1"/>
  <c r="P7" i="124"/>
  <c r="O7" i="124" s="1"/>
  <c r="S7" i="124"/>
  <c r="R7" i="124" s="1"/>
  <c r="Q9" i="124" l="1"/>
  <c r="P8" i="124"/>
  <c r="O8" i="124" s="1"/>
  <c r="Q10" i="124" l="1"/>
  <c r="P9" i="124"/>
  <c r="O9" i="124" s="1"/>
  <c r="S9" i="124"/>
  <c r="R9" i="124" s="1"/>
  <c r="S10" i="124"/>
  <c r="R10" i="124" s="1"/>
  <c r="P10" i="124" l="1"/>
  <c r="O10" i="124" s="1"/>
  <c r="Q11" i="124"/>
  <c r="Q12" i="124" l="1"/>
  <c r="P11" i="124"/>
  <c r="O11" i="124" s="1"/>
  <c r="S12" i="124"/>
  <c r="R12" i="124" s="1"/>
  <c r="S11" i="124"/>
  <c r="R11" i="124" s="1"/>
  <c r="P12" i="124" l="1"/>
  <c r="O12" i="124" s="1"/>
  <c r="Q13" i="124"/>
  <c r="Q14" i="124" l="1"/>
  <c r="P13" i="124"/>
  <c r="O13" i="124" s="1"/>
  <c r="S13" i="124"/>
  <c r="R13" i="124" s="1"/>
  <c r="S14" i="124"/>
  <c r="R14" i="124" s="1"/>
  <c r="Q15" i="124" l="1"/>
  <c r="P14" i="124"/>
  <c r="O14" i="124" s="1"/>
  <c r="Q16" i="124" l="1"/>
  <c r="P15" i="124"/>
  <c r="O15" i="124" s="1"/>
  <c r="S16" i="124"/>
  <c r="R16" i="124" s="1"/>
  <c r="S15" i="124"/>
  <c r="R15" i="124" s="1"/>
  <c r="Q17" i="124" l="1"/>
  <c r="P16" i="124"/>
  <c r="O16" i="124" s="1"/>
  <c r="Q18" i="124" l="1"/>
  <c r="P17" i="124"/>
  <c r="O17" i="124" s="1"/>
  <c r="S17" i="124"/>
  <c r="R17" i="124" s="1"/>
  <c r="P18" i="124" l="1"/>
  <c r="O18" i="124" s="1"/>
  <c r="Q19" i="124"/>
  <c r="S18" i="124"/>
  <c r="R18" i="124" s="1"/>
  <c r="P19" i="124" l="1"/>
  <c r="O19" i="124" s="1"/>
  <c r="Q20" i="124"/>
  <c r="S19" i="124"/>
  <c r="R19" i="124" s="1"/>
  <c r="Q21" i="124" l="1"/>
  <c r="P20" i="124"/>
  <c r="O20" i="124" s="1"/>
  <c r="S20" i="124"/>
  <c r="R20" i="124" s="1"/>
  <c r="Q22" i="124" l="1"/>
  <c r="P21" i="124"/>
  <c r="O21" i="124" s="1"/>
  <c r="S21" i="124"/>
  <c r="R21" i="124" s="1"/>
  <c r="Q23" i="124" l="1"/>
  <c r="P22" i="124"/>
  <c r="O22" i="124" s="1"/>
  <c r="S22" i="124"/>
  <c r="R22" i="124" s="1"/>
  <c r="P23" i="124" l="1"/>
  <c r="O23" i="124" s="1"/>
  <c r="Q24" i="124"/>
  <c r="S23" i="124"/>
  <c r="R23" i="124" s="1"/>
  <c r="P24" i="124" l="1"/>
  <c r="O24" i="124" s="1"/>
  <c r="Q25" i="124"/>
  <c r="S24" i="124"/>
  <c r="R24" i="124" s="1"/>
  <c r="Q26" i="124" l="1"/>
  <c r="P25" i="124"/>
  <c r="O25" i="124" s="1"/>
  <c r="S25" i="124"/>
  <c r="R25" i="124" s="1"/>
  <c r="Q27" i="124" l="1"/>
  <c r="P26" i="124"/>
  <c r="O26" i="124" s="1"/>
  <c r="S26" i="124"/>
  <c r="R26" i="124" s="1"/>
  <c r="P27" i="124" l="1"/>
  <c r="O27" i="124" s="1"/>
  <c r="Q28" i="124"/>
  <c r="S27" i="124"/>
  <c r="R27" i="124" s="1"/>
  <c r="Q29" i="124" l="1"/>
  <c r="P28" i="124"/>
  <c r="O28" i="124" s="1"/>
  <c r="S28" i="124"/>
  <c r="R28" i="124" s="1"/>
  <c r="Q30" i="124" l="1"/>
  <c r="P29" i="124"/>
  <c r="O29" i="124" s="1"/>
  <c r="S29" i="124"/>
  <c r="R29" i="124" s="1"/>
  <c r="Q31" i="124" l="1"/>
  <c r="P30" i="124"/>
  <c r="O30" i="124" s="1"/>
  <c r="S30" i="124"/>
  <c r="R30" i="124" s="1"/>
  <c r="Q32" i="124" l="1"/>
  <c r="P31" i="124"/>
  <c r="O31" i="124" s="1"/>
  <c r="S31" i="124"/>
  <c r="R31" i="124" s="1"/>
  <c r="Q33" i="124" l="1"/>
  <c r="P32" i="124"/>
  <c r="O32" i="124" s="1"/>
  <c r="S32" i="124"/>
  <c r="R32" i="124" s="1"/>
  <c r="P33" i="124" l="1"/>
  <c r="O33" i="124" s="1"/>
  <c r="Q34" i="124"/>
  <c r="S33" i="124"/>
  <c r="R33" i="124" s="1"/>
  <c r="Q35" i="124" l="1"/>
  <c r="P34" i="124"/>
  <c r="O34" i="124" s="1"/>
  <c r="S34" i="124"/>
  <c r="R34" i="124" s="1"/>
  <c r="P35" i="124" l="1"/>
  <c r="O35" i="124" s="1"/>
  <c r="Q36" i="124"/>
  <c r="S35" i="124"/>
  <c r="R35" i="124" s="1"/>
  <c r="P36" i="124" l="1"/>
  <c r="O36" i="124" s="1"/>
  <c r="Q37" i="124"/>
  <c r="S36" i="124"/>
  <c r="R36" i="124" s="1"/>
  <c r="P37" i="124" l="1"/>
  <c r="O37" i="124" s="1"/>
  <c r="Q38" i="124"/>
  <c r="S37" i="124"/>
  <c r="R37" i="124" s="1"/>
  <c r="P38" i="124" l="1"/>
  <c r="O38" i="124" s="1"/>
  <c r="Q39" i="124"/>
  <c r="S38" i="124"/>
  <c r="R38" i="124" s="1"/>
  <c r="P39" i="124" l="1"/>
  <c r="O39" i="124" s="1"/>
  <c r="Q40" i="124"/>
  <c r="S39" i="124"/>
  <c r="R39" i="124" s="1"/>
  <c r="Q41" i="124" l="1"/>
  <c r="P40" i="124"/>
  <c r="O40" i="124" s="1"/>
  <c r="S40" i="124"/>
  <c r="R40" i="124" s="1"/>
  <c r="Q42" i="124" l="1"/>
  <c r="P41" i="124"/>
  <c r="O41" i="124" s="1"/>
  <c r="S41" i="124"/>
  <c r="R41" i="124" s="1"/>
  <c r="Q43" i="124" l="1"/>
  <c r="P42" i="124"/>
  <c r="O42" i="124" s="1"/>
  <c r="S42" i="124"/>
  <c r="R42" i="124" s="1"/>
  <c r="Q44" i="124" l="1"/>
  <c r="P43" i="124"/>
  <c r="O43" i="124" s="1"/>
  <c r="S43" i="124"/>
  <c r="R43" i="124" s="1"/>
  <c r="Q45" i="124" l="1"/>
  <c r="P44" i="124"/>
  <c r="O44" i="124" s="1"/>
  <c r="S44" i="124"/>
  <c r="R44" i="124" s="1"/>
  <c r="Q46" i="124" l="1"/>
  <c r="P45" i="124"/>
  <c r="O45" i="124" s="1"/>
  <c r="S45" i="124"/>
  <c r="R45" i="124" s="1"/>
  <c r="Q47" i="124" l="1"/>
  <c r="P46" i="124"/>
  <c r="O46" i="124" s="1"/>
  <c r="S46" i="124"/>
  <c r="R46" i="124" s="1"/>
  <c r="Q48" i="124" l="1"/>
  <c r="P47" i="124"/>
  <c r="O47" i="124" s="1"/>
  <c r="S47" i="124"/>
  <c r="R47" i="124" s="1"/>
  <c r="Q49" i="124" l="1"/>
  <c r="P48" i="124"/>
  <c r="O48" i="124" s="1"/>
  <c r="S48" i="124"/>
  <c r="R48" i="124" s="1"/>
  <c r="Q50" i="124" l="1"/>
  <c r="P49" i="124"/>
  <c r="O49" i="124" s="1"/>
  <c r="S49" i="124"/>
  <c r="R49" i="124" s="1"/>
  <c r="Q51" i="124" l="1"/>
  <c r="P50" i="124"/>
  <c r="O50" i="124" s="1"/>
  <c r="S50" i="124"/>
  <c r="R50" i="124" s="1"/>
  <c r="Q52" i="124" l="1"/>
  <c r="P51" i="124"/>
  <c r="O51" i="124" s="1"/>
  <c r="S51" i="124"/>
  <c r="R51" i="124" s="1"/>
  <c r="Q53" i="124" l="1"/>
  <c r="P52" i="124"/>
  <c r="O52" i="124" s="1"/>
  <c r="S52" i="124"/>
  <c r="R52" i="124" s="1"/>
  <c r="Q54" i="124" l="1"/>
  <c r="P53" i="124"/>
  <c r="O53" i="124" s="1"/>
  <c r="S53" i="124"/>
  <c r="R53" i="124" s="1"/>
  <c r="Q55" i="124" l="1"/>
  <c r="P54" i="124"/>
  <c r="O54" i="124" s="1"/>
  <c r="S54" i="124"/>
  <c r="R54" i="124" s="1"/>
  <c r="Q56" i="124" l="1"/>
  <c r="P55" i="124"/>
  <c r="O55" i="124" s="1"/>
  <c r="S55" i="124"/>
  <c r="R55" i="124" s="1"/>
  <c r="Q57" i="124" l="1"/>
  <c r="P56" i="124"/>
  <c r="O56" i="124" s="1"/>
  <c r="S56" i="124"/>
  <c r="R56" i="124" s="1"/>
  <c r="Q58" i="124" l="1"/>
  <c r="P57" i="124"/>
  <c r="O57" i="124" s="1"/>
  <c r="S57" i="124"/>
  <c r="R57" i="124" s="1"/>
  <c r="Q59" i="124" l="1"/>
  <c r="P58" i="124"/>
  <c r="O58" i="124" s="1"/>
  <c r="S58" i="124"/>
  <c r="R58" i="124" s="1"/>
  <c r="Q60" i="124" l="1"/>
  <c r="P59" i="124"/>
  <c r="O59" i="124" s="1"/>
  <c r="S59" i="124"/>
  <c r="R59" i="124" s="1"/>
  <c r="Q61" i="124" l="1"/>
  <c r="P60" i="124"/>
  <c r="O60" i="124" s="1"/>
  <c r="S60" i="124"/>
  <c r="R60" i="124" s="1"/>
  <c r="Q62" i="124" l="1"/>
  <c r="P61" i="124"/>
  <c r="O61" i="124" s="1"/>
  <c r="S61" i="124"/>
  <c r="R61" i="124" s="1"/>
  <c r="S62" i="124" l="1"/>
  <c r="R62" i="124" s="1"/>
  <c r="G52" i="125"/>
  <c r="Q7" i="125" s="1"/>
  <c r="P62" i="124"/>
  <c r="O62" i="124" s="1"/>
  <c r="S7" i="125" l="1"/>
  <c r="R7" i="125" s="1"/>
  <c r="P7" i="125"/>
  <c r="O7" i="125" s="1"/>
  <c r="Q8" i="125"/>
  <c r="Q9" i="125" l="1"/>
  <c r="P8" i="125"/>
  <c r="O8" i="125" s="1"/>
  <c r="S8" i="125"/>
  <c r="R8" i="125" s="1"/>
  <c r="Q10" i="125" l="1"/>
  <c r="P9" i="125"/>
  <c r="O9" i="125" s="1"/>
  <c r="S9" i="125"/>
  <c r="R9" i="125" s="1"/>
  <c r="S10" i="125"/>
  <c r="R10" i="125" s="1"/>
  <c r="P10" i="125" l="1"/>
  <c r="O10" i="125" s="1"/>
  <c r="Q11" i="125"/>
  <c r="P11" i="125" l="1"/>
  <c r="O11" i="125" s="1"/>
  <c r="Q12" i="125"/>
  <c r="S12" i="125" s="1"/>
  <c r="R12" i="125" s="1"/>
  <c r="S11" i="125"/>
  <c r="R11" i="125" s="1"/>
  <c r="P12" i="125" l="1"/>
  <c r="O12" i="125" s="1"/>
  <c r="Q13" i="125"/>
  <c r="S13" i="125" l="1"/>
  <c r="R13" i="125" s="1"/>
  <c r="P13" i="125"/>
  <c r="O13" i="125" s="1"/>
  <c r="Q14" i="125"/>
  <c r="S14" i="125" l="1"/>
  <c r="R14" i="125" s="1"/>
  <c r="Q15" i="125"/>
  <c r="P14" i="125"/>
  <c r="O14" i="125" s="1"/>
  <c r="S15" i="125" l="1"/>
  <c r="R15" i="125" s="1"/>
  <c r="Q16" i="125"/>
  <c r="P15" i="125"/>
  <c r="O15" i="125" s="1"/>
  <c r="S16" i="125" l="1"/>
  <c r="R16" i="125" s="1"/>
  <c r="Q17" i="125"/>
  <c r="P16" i="125"/>
  <c r="O16" i="125" s="1"/>
  <c r="Q18" i="125" l="1"/>
  <c r="P17" i="125"/>
  <c r="O17" i="125" s="1"/>
  <c r="S17" i="125"/>
  <c r="R17" i="125" s="1"/>
  <c r="Q19" i="125" l="1"/>
  <c r="P18" i="125"/>
  <c r="O18" i="125" s="1"/>
  <c r="S18" i="125"/>
  <c r="R18" i="125" s="1"/>
  <c r="Q20" i="125" l="1"/>
  <c r="P19" i="125"/>
  <c r="O19" i="125" s="1"/>
  <c r="S19" i="125"/>
  <c r="R19" i="125" s="1"/>
  <c r="Q21" i="125" l="1"/>
  <c r="P20" i="125"/>
  <c r="O20" i="125" s="1"/>
  <c r="S20" i="125"/>
  <c r="R20" i="125" s="1"/>
  <c r="Q22" i="125" l="1"/>
  <c r="P21" i="125"/>
  <c r="O21" i="125" s="1"/>
  <c r="S21" i="125"/>
  <c r="R21" i="125" s="1"/>
  <c r="Q23" i="125" l="1"/>
  <c r="P22" i="125"/>
  <c r="O22" i="125" s="1"/>
  <c r="S22" i="125"/>
  <c r="R22" i="125" s="1"/>
  <c r="Q24" i="125" l="1"/>
  <c r="P23" i="125"/>
  <c r="O23" i="125" s="1"/>
  <c r="S23" i="125"/>
  <c r="R23" i="125" s="1"/>
  <c r="P24" i="125" l="1"/>
  <c r="O24" i="125" s="1"/>
  <c r="Q25" i="125"/>
  <c r="S24" i="125"/>
  <c r="R24" i="125" s="1"/>
  <c r="Q26" i="125" l="1"/>
  <c r="P25" i="125"/>
  <c r="O25" i="125" s="1"/>
  <c r="S25" i="125"/>
  <c r="R25" i="125" s="1"/>
  <c r="Q27" i="125" l="1"/>
  <c r="P26" i="125"/>
  <c r="O26" i="125" s="1"/>
  <c r="S26" i="125"/>
  <c r="R26" i="125" s="1"/>
  <c r="Q28" i="125" l="1"/>
  <c r="P27" i="125"/>
  <c r="O27" i="125" s="1"/>
  <c r="S27" i="125"/>
  <c r="R27" i="125" s="1"/>
  <c r="Q29" i="125" l="1"/>
  <c r="P28" i="125"/>
  <c r="O28" i="125" s="1"/>
  <c r="S28" i="125"/>
  <c r="R28" i="125" s="1"/>
  <c r="S29" i="125" l="1"/>
  <c r="R29" i="125" s="1"/>
  <c r="Q30" i="125"/>
  <c r="P29" i="125"/>
  <c r="O29" i="125" s="1"/>
  <c r="Q31" i="125" l="1"/>
  <c r="P30" i="125"/>
  <c r="O30" i="125" s="1"/>
  <c r="S30" i="125"/>
  <c r="R30" i="125" s="1"/>
  <c r="P31" i="125" l="1"/>
  <c r="O31" i="125" s="1"/>
  <c r="Q32" i="125"/>
  <c r="S31" i="125"/>
  <c r="R31" i="125" s="1"/>
  <c r="Q33" i="125" l="1"/>
  <c r="P32" i="125"/>
  <c r="O32" i="125" s="1"/>
  <c r="S32" i="125"/>
  <c r="R32" i="125" s="1"/>
  <c r="P33" i="125" l="1"/>
  <c r="O33" i="125" s="1"/>
  <c r="Q34" i="125"/>
  <c r="S33" i="125"/>
  <c r="R33" i="125" s="1"/>
  <c r="Q35" i="125" l="1"/>
  <c r="P34" i="125"/>
  <c r="O34" i="125" s="1"/>
  <c r="S34" i="125"/>
  <c r="R34" i="125" s="1"/>
  <c r="Q36" i="125" l="1"/>
  <c r="P35" i="125"/>
  <c r="O35" i="125" s="1"/>
  <c r="S35" i="125"/>
  <c r="R35" i="125" s="1"/>
  <c r="P36" i="125" l="1"/>
  <c r="O36" i="125" s="1"/>
  <c r="Q37" i="125"/>
  <c r="S36" i="125"/>
  <c r="R36" i="125" s="1"/>
  <c r="Q38" i="125" l="1"/>
  <c r="P37" i="125"/>
  <c r="O37" i="125" s="1"/>
  <c r="S37" i="125"/>
  <c r="R37" i="125" s="1"/>
  <c r="Q39" i="125" l="1"/>
  <c r="P38" i="125"/>
  <c r="O38" i="125" s="1"/>
  <c r="S38" i="125"/>
  <c r="R38" i="125" s="1"/>
  <c r="Q40" i="125" l="1"/>
  <c r="P39" i="125"/>
  <c r="O39" i="125" s="1"/>
  <c r="S39" i="125"/>
  <c r="R39" i="125" s="1"/>
  <c r="P40" i="125" l="1"/>
  <c r="O40" i="125" s="1"/>
  <c r="Q41" i="125"/>
  <c r="S40" i="125"/>
  <c r="R40" i="125" s="1"/>
  <c r="Q42" i="125" l="1"/>
  <c r="P41" i="125"/>
  <c r="O41" i="125" s="1"/>
  <c r="S41" i="125"/>
  <c r="R41" i="125" s="1"/>
  <c r="Q43" i="125" l="1"/>
  <c r="P42" i="125"/>
  <c r="O42" i="125" s="1"/>
  <c r="S42" i="125"/>
  <c r="R42" i="125" s="1"/>
  <c r="Q44" i="125" l="1"/>
  <c r="P43" i="125"/>
  <c r="O43" i="125" s="1"/>
  <c r="S43" i="125"/>
  <c r="R43" i="125" s="1"/>
  <c r="Q45" i="125" l="1"/>
  <c r="P44" i="125"/>
  <c r="O44" i="125" s="1"/>
  <c r="S44" i="125"/>
  <c r="R44" i="125" s="1"/>
  <c r="P45" i="125" l="1"/>
  <c r="O45" i="125" s="1"/>
  <c r="Q46" i="125"/>
  <c r="S45" i="125"/>
  <c r="R45" i="125" s="1"/>
  <c r="Q47" i="125" l="1"/>
  <c r="P46" i="125"/>
  <c r="O46" i="125" s="1"/>
  <c r="S46" i="125"/>
  <c r="R46" i="125" s="1"/>
  <c r="Q48" i="125" l="1"/>
  <c r="P47" i="125"/>
  <c r="O47" i="125" s="1"/>
  <c r="S47" i="125"/>
  <c r="R47" i="125" s="1"/>
  <c r="S48" i="125" l="1"/>
  <c r="R48" i="125" s="1"/>
  <c r="G59" i="126"/>
  <c r="Q7" i="126" s="1"/>
  <c r="P48" i="125"/>
  <c r="O48" i="125" s="1"/>
  <c r="Q8" i="126" l="1"/>
  <c r="S7" i="126"/>
  <c r="R7" i="126" s="1"/>
  <c r="P7" i="126"/>
  <c r="O7" i="126" s="1"/>
  <c r="S8" i="126"/>
  <c r="R8" i="126" s="1"/>
  <c r="Q9" i="126" l="1"/>
  <c r="P8" i="126"/>
  <c r="O8" i="126" s="1"/>
  <c r="P9" i="126" l="1"/>
  <c r="O9" i="126" s="1"/>
  <c r="Q10" i="126"/>
  <c r="S10" i="126" s="1"/>
  <c r="R10" i="126" s="1"/>
  <c r="S9" i="126"/>
  <c r="R9" i="126" s="1"/>
  <c r="P10" i="126" l="1"/>
  <c r="O10" i="126" s="1"/>
  <c r="Q11" i="126"/>
  <c r="P11" i="126" l="1"/>
  <c r="O11" i="126" s="1"/>
  <c r="Q12" i="126"/>
  <c r="S12" i="126" s="1"/>
  <c r="R12" i="126" s="1"/>
  <c r="S11" i="126"/>
  <c r="R11" i="126" s="1"/>
  <c r="Q13" i="126" l="1"/>
  <c r="P12" i="126"/>
  <c r="O12" i="126" s="1"/>
  <c r="P13" i="126" l="1"/>
  <c r="O13" i="126" s="1"/>
  <c r="Q14" i="126"/>
  <c r="S14" i="126"/>
  <c r="R14" i="126" s="1"/>
  <c r="S13" i="126"/>
  <c r="R13" i="126" s="1"/>
  <c r="P14" i="126" l="1"/>
  <c r="O14" i="126" s="1"/>
  <c r="Q15" i="126"/>
  <c r="S15" i="126"/>
  <c r="R15" i="126" s="1"/>
  <c r="P15" i="126" l="1"/>
  <c r="O15" i="126" s="1"/>
  <c r="Q16" i="126"/>
  <c r="S16" i="126" s="1"/>
  <c r="R16" i="126" s="1"/>
  <c r="Q17" i="126" l="1"/>
  <c r="P16" i="126"/>
  <c r="O16" i="126" s="1"/>
  <c r="Q18" i="126" l="1"/>
  <c r="P17" i="126"/>
  <c r="O17" i="126" s="1"/>
  <c r="S17" i="126"/>
  <c r="R17" i="126" s="1"/>
  <c r="P18" i="126" l="1"/>
  <c r="O18" i="126" s="1"/>
  <c r="Q19" i="126"/>
  <c r="S18" i="126"/>
  <c r="R18" i="126" s="1"/>
  <c r="P19" i="126" l="1"/>
  <c r="O19" i="126" s="1"/>
  <c r="Q20" i="126"/>
  <c r="S19" i="126"/>
  <c r="R19" i="126" s="1"/>
  <c r="P20" i="126" l="1"/>
  <c r="O20" i="126" s="1"/>
  <c r="Q21" i="126"/>
  <c r="S20" i="126"/>
  <c r="R20" i="126" s="1"/>
  <c r="P21" i="126" l="1"/>
  <c r="O21" i="126" s="1"/>
  <c r="Q22" i="126"/>
  <c r="S21" i="126"/>
  <c r="R21" i="126" s="1"/>
  <c r="P22" i="126" l="1"/>
  <c r="O22" i="126" s="1"/>
  <c r="Q23" i="126"/>
  <c r="S22" i="126"/>
  <c r="R22" i="126" s="1"/>
  <c r="P23" i="126" l="1"/>
  <c r="O23" i="126" s="1"/>
  <c r="Q24" i="126"/>
  <c r="S23" i="126"/>
  <c r="R23" i="126" s="1"/>
  <c r="P24" i="126" l="1"/>
  <c r="O24" i="126" s="1"/>
  <c r="Q25" i="126"/>
  <c r="S24" i="126"/>
  <c r="R24" i="126" s="1"/>
  <c r="Q26" i="126" l="1"/>
  <c r="P25" i="126"/>
  <c r="O25" i="126" s="1"/>
  <c r="S25" i="126"/>
  <c r="R25" i="126" s="1"/>
  <c r="Q27" i="126" l="1"/>
  <c r="P26" i="126"/>
  <c r="O26" i="126" s="1"/>
  <c r="S26" i="126"/>
  <c r="R26" i="126" s="1"/>
  <c r="Q28" i="126" l="1"/>
  <c r="P27" i="126"/>
  <c r="O27" i="126" s="1"/>
  <c r="S27" i="126"/>
  <c r="R27" i="126" s="1"/>
  <c r="Q29" i="126" l="1"/>
  <c r="P28" i="126"/>
  <c r="O28" i="126" s="1"/>
  <c r="S28" i="126"/>
  <c r="R28" i="126" s="1"/>
  <c r="P29" i="126" l="1"/>
  <c r="O29" i="126" s="1"/>
  <c r="Q30" i="126"/>
  <c r="S29" i="126"/>
  <c r="R29" i="126" s="1"/>
  <c r="P30" i="126" l="1"/>
  <c r="O30" i="126" s="1"/>
  <c r="Q31" i="126"/>
  <c r="S30" i="126"/>
  <c r="R30" i="126" s="1"/>
  <c r="P31" i="126" l="1"/>
  <c r="O31" i="126" s="1"/>
  <c r="Q32" i="126"/>
  <c r="S31" i="126"/>
  <c r="R31" i="126" s="1"/>
  <c r="P32" i="126" l="1"/>
  <c r="O32" i="126" s="1"/>
  <c r="Q33" i="126"/>
  <c r="S32" i="126"/>
  <c r="R32" i="126" s="1"/>
  <c r="Q34" i="126" l="1"/>
  <c r="P33" i="126"/>
  <c r="O33" i="126" s="1"/>
  <c r="S33" i="126"/>
  <c r="R33" i="126" s="1"/>
  <c r="P34" i="126" l="1"/>
  <c r="O34" i="126" s="1"/>
  <c r="Q35" i="126"/>
  <c r="S34" i="126"/>
  <c r="R34" i="126" s="1"/>
  <c r="P35" i="126" l="1"/>
  <c r="O35" i="126" s="1"/>
  <c r="Q36" i="126"/>
  <c r="S35" i="126"/>
  <c r="R35" i="126" s="1"/>
  <c r="Q37" i="126" l="1"/>
  <c r="P36" i="126"/>
  <c r="O36" i="126" s="1"/>
  <c r="S36" i="126"/>
  <c r="R36" i="126" s="1"/>
  <c r="P37" i="126" l="1"/>
  <c r="O37" i="126" s="1"/>
  <c r="Q38" i="126"/>
  <c r="S37" i="126"/>
  <c r="R37" i="126" s="1"/>
  <c r="Q39" i="126" l="1"/>
  <c r="P38" i="126"/>
  <c r="O38" i="126" s="1"/>
  <c r="S38" i="126"/>
  <c r="R38" i="126" s="1"/>
  <c r="P39" i="126" l="1"/>
  <c r="O39" i="126" s="1"/>
  <c r="Q40" i="126"/>
  <c r="S39" i="126"/>
  <c r="R39" i="126" s="1"/>
  <c r="P40" i="126" l="1"/>
  <c r="O40" i="126" s="1"/>
  <c r="Q41" i="126"/>
  <c r="S40" i="126"/>
  <c r="R40" i="126" s="1"/>
  <c r="P41" i="126" l="1"/>
  <c r="O41" i="126" s="1"/>
  <c r="Q42" i="126"/>
  <c r="S41" i="126"/>
  <c r="R41" i="126" s="1"/>
  <c r="Q43" i="126" l="1"/>
  <c r="P42" i="126"/>
  <c r="O42" i="126" s="1"/>
  <c r="S42" i="126"/>
  <c r="R42" i="126" s="1"/>
  <c r="Q44" i="126" l="1"/>
  <c r="P43" i="126"/>
  <c r="O43" i="126" s="1"/>
  <c r="S43" i="126"/>
  <c r="R43" i="126" s="1"/>
  <c r="P44" i="126" l="1"/>
  <c r="O44" i="126" s="1"/>
  <c r="Q45" i="126"/>
  <c r="S44" i="126"/>
  <c r="R44" i="126" s="1"/>
  <c r="P45" i="126" l="1"/>
  <c r="O45" i="126" s="1"/>
  <c r="Q46" i="126"/>
  <c r="S45" i="126"/>
  <c r="R45" i="126" s="1"/>
  <c r="P46" i="126" l="1"/>
  <c r="O46" i="126" s="1"/>
  <c r="Q47" i="126"/>
  <c r="S46" i="126"/>
  <c r="R46" i="126" s="1"/>
  <c r="P47" i="126" l="1"/>
  <c r="O47" i="126" s="1"/>
  <c r="Q48" i="126"/>
  <c r="S47" i="126"/>
  <c r="R47" i="126" s="1"/>
  <c r="Q49" i="126" l="1"/>
  <c r="P48" i="126"/>
  <c r="O48" i="126" s="1"/>
  <c r="S48" i="126"/>
  <c r="R48" i="126" s="1"/>
  <c r="Q50" i="126" l="1"/>
  <c r="P49" i="126"/>
  <c r="O49" i="126" s="1"/>
  <c r="S49" i="126"/>
  <c r="R49" i="126" s="1"/>
  <c r="P50" i="126" l="1"/>
  <c r="O50" i="126" s="1"/>
  <c r="Q51" i="126"/>
  <c r="S50" i="126"/>
  <c r="R50" i="126" s="1"/>
  <c r="P51" i="126" l="1"/>
  <c r="O51" i="126" s="1"/>
  <c r="Q52" i="126"/>
  <c r="S51" i="126"/>
  <c r="R51" i="126" s="1"/>
  <c r="Q53" i="126" l="1"/>
  <c r="P52" i="126"/>
  <c r="O52" i="126" s="1"/>
  <c r="S52" i="126"/>
  <c r="R52" i="126" s="1"/>
  <c r="Q54" i="126" l="1"/>
  <c r="P53" i="126"/>
  <c r="O53" i="126" s="1"/>
  <c r="S53" i="126"/>
  <c r="R53" i="126" s="1"/>
  <c r="Q55" i="126" l="1"/>
  <c r="P54" i="126"/>
  <c r="O54" i="126" s="1"/>
  <c r="S54" i="126"/>
  <c r="R54" i="126" s="1"/>
  <c r="P55" i="126" l="1"/>
  <c r="O55" i="126" s="1"/>
  <c r="G59" i="127"/>
  <c r="Q7" i="127" s="1"/>
  <c r="S55" i="126"/>
  <c r="R55" i="126" s="1"/>
  <c r="Q8" i="127" l="1"/>
  <c r="S7" i="127"/>
  <c r="R7" i="127" s="1"/>
  <c r="P7" i="127"/>
  <c r="O7" i="127" s="1"/>
  <c r="S8" i="127"/>
  <c r="R8" i="127" s="1"/>
  <c r="Q9" i="127" l="1"/>
  <c r="P8" i="127"/>
  <c r="O8" i="127" s="1"/>
  <c r="Q10" i="127" l="1"/>
  <c r="P9" i="127"/>
  <c r="O9" i="127" s="1"/>
  <c r="S9" i="127"/>
  <c r="R9" i="127" s="1"/>
  <c r="S10" i="127"/>
  <c r="R10" i="127" s="1"/>
  <c r="P10" i="127" l="1"/>
  <c r="O10" i="127" s="1"/>
  <c r="Q11" i="127"/>
  <c r="Q12" i="127" l="1"/>
  <c r="P11" i="127"/>
  <c r="O11" i="127" s="1"/>
  <c r="S11" i="127"/>
  <c r="R11" i="127" s="1"/>
  <c r="S12" i="127"/>
  <c r="R12" i="127" s="1"/>
  <c r="Q13" i="127" l="1"/>
  <c r="P12" i="127"/>
  <c r="O12" i="127" s="1"/>
  <c r="Q14" i="127" l="1"/>
  <c r="P13" i="127"/>
  <c r="O13" i="127" s="1"/>
  <c r="S13" i="127"/>
  <c r="R13" i="127" s="1"/>
  <c r="S14" i="127"/>
  <c r="R14" i="127" s="1"/>
  <c r="Q15" i="127" l="1"/>
  <c r="P14" i="127"/>
  <c r="O14" i="127" s="1"/>
  <c r="P15" i="127" l="1"/>
  <c r="O15" i="127" s="1"/>
  <c r="Q16" i="127"/>
  <c r="S15" i="127"/>
  <c r="R15" i="127" s="1"/>
  <c r="S16" i="127"/>
  <c r="R16" i="127" s="1"/>
  <c r="P16" i="127" l="1"/>
  <c r="O16" i="127" s="1"/>
  <c r="Q17" i="127"/>
  <c r="Q18" i="127" l="1"/>
  <c r="P17" i="127"/>
  <c r="O17" i="127" s="1"/>
  <c r="S17" i="127"/>
  <c r="R17" i="127" s="1"/>
  <c r="Q19" i="127" l="1"/>
  <c r="P18" i="127"/>
  <c r="O18" i="127" s="1"/>
  <c r="S18" i="127"/>
  <c r="R18" i="127" s="1"/>
  <c r="Q20" i="127" l="1"/>
  <c r="P19" i="127"/>
  <c r="O19" i="127" s="1"/>
  <c r="S19" i="127"/>
  <c r="R19" i="127" s="1"/>
  <c r="Q21" i="127" l="1"/>
  <c r="P20" i="127"/>
  <c r="O20" i="127" s="1"/>
  <c r="S20" i="127"/>
  <c r="R20" i="127" s="1"/>
  <c r="Q22" i="127" l="1"/>
  <c r="P21" i="127"/>
  <c r="O21" i="127" s="1"/>
  <c r="S21" i="127"/>
  <c r="R21" i="127" s="1"/>
  <c r="Q23" i="127" l="1"/>
  <c r="P22" i="127"/>
  <c r="O22" i="127" s="1"/>
  <c r="S22" i="127"/>
  <c r="R22" i="127" s="1"/>
  <c r="P23" i="127" l="1"/>
  <c r="O23" i="127" s="1"/>
  <c r="Q24" i="127"/>
  <c r="S23" i="127"/>
  <c r="R23" i="127" s="1"/>
  <c r="P24" i="127" l="1"/>
  <c r="O24" i="127" s="1"/>
  <c r="Q25" i="127"/>
  <c r="S24" i="127"/>
  <c r="R24" i="127" s="1"/>
  <c r="Q26" i="127" l="1"/>
  <c r="P25" i="127"/>
  <c r="O25" i="127" s="1"/>
  <c r="S25" i="127"/>
  <c r="R25" i="127" s="1"/>
  <c r="Q27" i="127" l="1"/>
  <c r="P26" i="127"/>
  <c r="O26" i="127" s="1"/>
  <c r="S26" i="127"/>
  <c r="R26" i="127" s="1"/>
  <c r="Q28" i="127" l="1"/>
  <c r="P27" i="127"/>
  <c r="O27" i="127" s="1"/>
  <c r="S27" i="127"/>
  <c r="R27" i="127" s="1"/>
  <c r="Q29" i="127" l="1"/>
  <c r="P28" i="127"/>
  <c r="O28" i="127" s="1"/>
  <c r="S28" i="127"/>
  <c r="R28" i="127" s="1"/>
  <c r="Q30" i="127" l="1"/>
  <c r="P29" i="127"/>
  <c r="O29" i="127" s="1"/>
  <c r="S29" i="127"/>
  <c r="R29" i="127" s="1"/>
  <c r="P30" i="127" l="1"/>
  <c r="O30" i="127" s="1"/>
  <c r="Q31" i="127"/>
  <c r="S30" i="127"/>
  <c r="R30" i="127" s="1"/>
  <c r="P31" i="127" l="1"/>
  <c r="O31" i="127" s="1"/>
  <c r="Q32" i="127"/>
  <c r="S31" i="127"/>
  <c r="R31" i="127" s="1"/>
  <c r="Q33" i="127" l="1"/>
  <c r="P32" i="127"/>
  <c r="O32" i="127" s="1"/>
  <c r="S32" i="127"/>
  <c r="R32" i="127" s="1"/>
  <c r="Q34" i="127" l="1"/>
  <c r="P33" i="127"/>
  <c r="O33" i="127" s="1"/>
  <c r="S33" i="127"/>
  <c r="R33" i="127" s="1"/>
  <c r="Q35" i="127" l="1"/>
  <c r="P34" i="127"/>
  <c r="O34" i="127" s="1"/>
  <c r="S34" i="127"/>
  <c r="R34" i="127" s="1"/>
  <c r="Q36" i="127" l="1"/>
  <c r="P35" i="127"/>
  <c r="O35" i="127" s="1"/>
  <c r="S35" i="127"/>
  <c r="R35" i="127" s="1"/>
  <c r="P36" i="127" l="1"/>
  <c r="O36" i="127" s="1"/>
  <c r="Q37" i="127"/>
  <c r="S36" i="127"/>
  <c r="R36" i="127" s="1"/>
  <c r="Q38" i="127" l="1"/>
  <c r="P37" i="127"/>
  <c r="O37" i="127" s="1"/>
  <c r="S37" i="127"/>
  <c r="R37" i="127" s="1"/>
  <c r="P38" i="127" l="1"/>
  <c r="O38" i="127" s="1"/>
  <c r="Q39" i="127"/>
  <c r="S38" i="127"/>
  <c r="R38" i="127" s="1"/>
  <c r="Q40" i="127" l="1"/>
  <c r="P39" i="127"/>
  <c r="O39" i="127" s="1"/>
  <c r="S39" i="127"/>
  <c r="R39" i="127" s="1"/>
  <c r="Q41" i="127" l="1"/>
  <c r="P40" i="127"/>
  <c r="O40" i="127" s="1"/>
  <c r="S40" i="127"/>
  <c r="R40" i="127" s="1"/>
  <c r="Q42" i="127" l="1"/>
  <c r="P41" i="127"/>
  <c r="O41" i="127" s="1"/>
  <c r="S41" i="127"/>
  <c r="R41" i="127" s="1"/>
  <c r="Q43" i="127" l="1"/>
  <c r="P42" i="127"/>
  <c r="O42" i="127" s="1"/>
  <c r="S42" i="127"/>
  <c r="R42" i="127" s="1"/>
  <c r="P43" i="127" l="1"/>
  <c r="O43" i="127" s="1"/>
  <c r="Q44" i="127"/>
  <c r="S43" i="127"/>
  <c r="R43" i="127" s="1"/>
  <c r="P44" i="127" l="1"/>
  <c r="O44" i="127" s="1"/>
  <c r="Q45" i="127"/>
  <c r="S44" i="127"/>
  <c r="R44" i="127" s="1"/>
  <c r="Q46" i="127" l="1"/>
  <c r="P45" i="127"/>
  <c r="O45" i="127" s="1"/>
  <c r="S45" i="127"/>
  <c r="R45" i="127" s="1"/>
  <c r="Q47" i="127" l="1"/>
  <c r="P46" i="127"/>
  <c r="O46" i="127" s="1"/>
  <c r="S46" i="127"/>
  <c r="R46" i="127" s="1"/>
  <c r="Q48" i="127" l="1"/>
  <c r="P47" i="127"/>
  <c r="O47" i="127" s="1"/>
  <c r="S47" i="127"/>
  <c r="R47" i="127" s="1"/>
  <c r="S48" i="127" l="1"/>
  <c r="R48" i="127" s="1"/>
  <c r="P48" i="127"/>
  <c r="O48" i="127" s="1"/>
  <c r="Q49" i="127"/>
  <c r="Q50" i="127" l="1"/>
  <c r="P49" i="127"/>
  <c r="O49" i="127" s="1"/>
  <c r="S49" i="127"/>
  <c r="R49" i="127" s="1"/>
  <c r="Q51" i="127" l="1"/>
  <c r="P50" i="127"/>
  <c r="O50" i="127" s="1"/>
  <c r="S50" i="127"/>
  <c r="R50" i="127" s="1"/>
  <c r="Q52" i="127" l="1"/>
  <c r="P51" i="127"/>
  <c r="O51" i="127" s="1"/>
  <c r="S51" i="127"/>
  <c r="R51" i="127" s="1"/>
  <c r="Q53" i="127" l="1"/>
  <c r="P52" i="127"/>
  <c r="O52" i="127" s="1"/>
  <c r="S52" i="127"/>
  <c r="R52" i="127" s="1"/>
  <c r="Q54" i="127" l="1"/>
  <c r="P53" i="127"/>
  <c r="O53" i="127" s="1"/>
  <c r="S53" i="127"/>
  <c r="R53" i="127" s="1"/>
  <c r="Q55" i="127" l="1"/>
  <c r="P54" i="127"/>
  <c r="O54" i="127" s="1"/>
  <c r="S54" i="127"/>
  <c r="R54" i="127" s="1"/>
  <c r="G59" i="128" l="1"/>
  <c r="Q7" i="128" s="1"/>
  <c r="P55" i="127"/>
  <c r="O55" i="127" s="1"/>
  <c r="S55" i="127"/>
  <c r="R55" i="127" s="1"/>
  <c r="Q8" i="128" l="1"/>
  <c r="S7" i="128"/>
  <c r="R7" i="128" s="1"/>
  <c r="P7" i="128"/>
  <c r="O7" i="128" s="1"/>
  <c r="Q9" i="128" l="1"/>
  <c r="P8" i="128"/>
  <c r="O8" i="128" s="1"/>
  <c r="S8" i="128"/>
  <c r="R8" i="128" s="1"/>
  <c r="P9" i="128" l="1"/>
  <c r="O9" i="128" s="1"/>
  <c r="Q10" i="128"/>
  <c r="S10" i="128" s="1"/>
  <c r="R10" i="128" s="1"/>
  <c r="S9" i="128"/>
  <c r="R9" i="128" s="1"/>
  <c r="P10" i="128" l="1"/>
  <c r="O10" i="128" s="1"/>
  <c r="Q11" i="128"/>
  <c r="Q12" i="128" l="1"/>
  <c r="P11" i="128"/>
  <c r="O11" i="128" s="1"/>
  <c r="S11" i="128"/>
  <c r="R11" i="128" s="1"/>
  <c r="S12" i="128" l="1"/>
  <c r="R12" i="128" s="1"/>
  <c r="P12" i="128"/>
  <c r="O12" i="128" s="1"/>
  <c r="Q13" i="128"/>
  <c r="Q14" i="128" l="1"/>
  <c r="S14" i="128" s="1"/>
  <c r="R14" i="128" s="1"/>
  <c r="P13" i="128"/>
  <c r="O13" i="128" s="1"/>
  <c r="S13" i="128"/>
  <c r="R13" i="128" s="1"/>
  <c r="Q15" i="128" l="1"/>
  <c r="P14" i="128"/>
  <c r="O14" i="128" s="1"/>
  <c r="P15" i="128" l="1"/>
  <c r="O15" i="128" s="1"/>
  <c r="Q16" i="128"/>
  <c r="S15" i="128"/>
  <c r="R15" i="128" s="1"/>
  <c r="P16" i="128" l="1"/>
  <c r="O16" i="128" s="1"/>
  <c r="Q17" i="128"/>
  <c r="S16" i="128"/>
  <c r="R16" i="128" s="1"/>
  <c r="Q18" i="128" l="1"/>
  <c r="P17" i="128"/>
  <c r="O17" i="128" s="1"/>
  <c r="S17" i="128"/>
  <c r="R17" i="128" s="1"/>
  <c r="Q19" i="128" l="1"/>
  <c r="P18" i="128"/>
  <c r="O18" i="128" s="1"/>
  <c r="S18" i="128"/>
  <c r="R18" i="128" s="1"/>
  <c r="Q20" i="128" l="1"/>
  <c r="P19" i="128"/>
  <c r="O19" i="128" s="1"/>
  <c r="S19" i="128"/>
  <c r="R19" i="128" s="1"/>
  <c r="Q21" i="128" l="1"/>
  <c r="P20" i="128"/>
  <c r="O20" i="128" s="1"/>
  <c r="S20" i="128"/>
  <c r="R20" i="128" s="1"/>
  <c r="Q22" i="128" l="1"/>
  <c r="P21" i="128"/>
  <c r="O21" i="128" s="1"/>
  <c r="S21" i="128"/>
  <c r="R21" i="128" s="1"/>
  <c r="P22" i="128" l="1"/>
  <c r="O22" i="128" s="1"/>
  <c r="Q23" i="128"/>
  <c r="S22" i="128"/>
  <c r="R22" i="128" s="1"/>
  <c r="Q24" i="128" l="1"/>
  <c r="P23" i="128"/>
  <c r="O23" i="128" s="1"/>
  <c r="S23" i="128"/>
  <c r="R23" i="128" s="1"/>
  <c r="Q25" i="128" l="1"/>
  <c r="P24" i="128"/>
  <c r="O24" i="128" s="1"/>
  <c r="S24" i="128"/>
  <c r="R24" i="128" s="1"/>
  <c r="Q26" i="128" l="1"/>
  <c r="P25" i="128"/>
  <c r="O25" i="128" s="1"/>
  <c r="S25" i="128"/>
  <c r="R25" i="128" s="1"/>
  <c r="Q27" i="128" l="1"/>
  <c r="P26" i="128"/>
  <c r="O26" i="128" s="1"/>
  <c r="S26" i="128"/>
  <c r="R26" i="128" s="1"/>
  <c r="Q28" i="128" l="1"/>
  <c r="P27" i="128"/>
  <c r="O27" i="128" s="1"/>
  <c r="S27" i="128"/>
  <c r="R27" i="128" s="1"/>
  <c r="Q29" i="128" l="1"/>
  <c r="P28" i="128"/>
  <c r="O28" i="128" s="1"/>
  <c r="S28" i="128"/>
  <c r="R28" i="128" s="1"/>
  <c r="Q30" i="128" l="1"/>
  <c r="P29" i="128"/>
  <c r="O29" i="128" s="1"/>
  <c r="S29" i="128"/>
  <c r="R29" i="128" s="1"/>
  <c r="S30" i="128" l="1"/>
  <c r="R30" i="128" s="1"/>
  <c r="Q31" i="128"/>
  <c r="P30" i="128"/>
  <c r="O30" i="128" s="1"/>
  <c r="S31" i="128" l="1"/>
  <c r="R31" i="128" s="1"/>
  <c r="P31" i="128"/>
  <c r="O31" i="128" s="1"/>
  <c r="Q32" i="128"/>
  <c r="S32" i="128" l="1"/>
  <c r="R32" i="128" s="1"/>
  <c r="Q33" i="128"/>
  <c r="P32" i="128"/>
  <c r="O32" i="128" s="1"/>
  <c r="S33" i="128" l="1"/>
  <c r="R33" i="128" s="1"/>
  <c r="Q34" i="128"/>
  <c r="P33" i="128"/>
  <c r="O33" i="128" s="1"/>
  <c r="P34" i="128" l="1"/>
  <c r="O34" i="128" s="1"/>
  <c r="Q35" i="128"/>
  <c r="S34" i="128"/>
  <c r="R34" i="128" s="1"/>
  <c r="P35" i="128" l="1"/>
  <c r="O35" i="128" s="1"/>
  <c r="Q36" i="128"/>
  <c r="S35" i="128"/>
  <c r="R35" i="128" s="1"/>
  <c r="Q37" i="128" l="1"/>
  <c r="P36" i="128"/>
  <c r="O36" i="128" s="1"/>
  <c r="S36" i="128"/>
  <c r="R36" i="128" s="1"/>
  <c r="Q38" i="128" l="1"/>
  <c r="P37" i="128"/>
  <c r="O37" i="128" s="1"/>
  <c r="S37" i="128"/>
  <c r="R37" i="128" s="1"/>
  <c r="P38" i="128" l="1"/>
  <c r="O38" i="128" s="1"/>
  <c r="Q39" i="128"/>
  <c r="S38" i="128"/>
  <c r="R38" i="128" s="1"/>
  <c r="P39" i="128" l="1"/>
  <c r="O39" i="128" s="1"/>
  <c r="Q40" i="128"/>
  <c r="S39" i="128"/>
  <c r="R39" i="128" s="1"/>
  <c r="Q41" i="128" l="1"/>
  <c r="Q42" i="128" s="1"/>
  <c r="S42" i="128" s="1"/>
  <c r="P40" i="128"/>
  <c r="O40" i="128" s="1"/>
  <c r="S40" i="128"/>
  <c r="R40" i="128" s="1"/>
  <c r="P41" i="128" l="1"/>
  <c r="O41" i="128" s="1"/>
  <c r="S41" i="128"/>
  <c r="R41" i="128" s="1"/>
  <c r="P42" i="128" l="1"/>
  <c r="O42" i="128" s="1"/>
  <c r="Q43" i="128"/>
  <c r="R42" i="128"/>
  <c r="P43" i="128" l="1"/>
  <c r="O43" i="128" s="1"/>
  <c r="Q44" i="128"/>
  <c r="S43" i="128"/>
  <c r="R43" i="128" s="1"/>
  <c r="P44" i="128" l="1"/>
  <c r="O44" i="128" s="1"/>
  <c r="Q45" i="128"/>
  <c r="S44" i="128"/>
  <c r="R44" i="128" s="1"/>
  <c r="Q46" i="128" l="1"/>
  <c r="Q47" i="128" s="1"/>
  <c r="Q48" i="128" s="1"/>
  <c r="P45" i="128"/>
  <c r="O45" i="128" s="1"/>
  <c r="S45" i="128"/>
  <c r="R45" i="128" s="1"/>
  <c r="P46" i="128" l="1"/>
  <c r="O46" i="128" s="1"/>
  <c r="S46" i="128"/>
  <c r="R46" i="128" s="1"/>
  <c r="P47" i="128" l="1"/>
  <c r="O47" i="128" s="1"/>
  <c r="S47" i="128"/>
  <c r="R47" i="128" s="1"/>
  <c r="P48" i="128" l="1"/>
  <c r="O48" i="128" s="1"/>
  <c r="Q49" i="128"/>
  <c r="Q50" i="128" s="1"/>
  <c r="Q51" i="128" s="1"/>
  <c r="Q52" i="128" s="1"/>
  <c r="Q53" i="128" s="1"/>
  <c r="Q54" i="128" s="1"/>
  <c r="Q55" i="128" s="1"/>
  <c r="S55" i="128" s="1"/>
  <c r="S48" i="128"/>
  <c r="R48" i="128" s="1"/>
  <c r="S54" i="128" l="1"/>
  <c r="P49" i="128"/>
  <c r="O49" i="128" s="1"/>
  <c r="S49" i="128"/>
  <c r="R49" i="128" s="1"/>
  <c r="P50" i="128" l="1"/>
  <c r="O50" i="128" s="1"/>
  <c r="S50" i="128"/>
  <c r="R50" i="128" s="1"/>
  <c r="P51" i="128" l="1"/>
  <c r="O51" i="128" s="1"/>
  <c r="S51" i="128"/>
  <c r="R51" i="128" s="1"/>
  <c r="P52" i="128" l="1"/>
  <c r="O52" i="128" s="1"/>
  <c r="S52" i="128"/>
  <c r="R52" i="128" s="1"/>
  <c r="P53" i="128" l="1"/>
  <c r="O53" i="128" s="1"/>
  <c r="S53" i="128"/>
  <c r="R53" i="128" s="1"/>
  <c r="P54" i="128" l="1"/>
  <c r="O54" i="128" s="1"/>
  <c r="G59" i="129"/>
  <c r="Q7" i="129" s="1"/>
  <c r="R54" i="128"/>
  <c r="Q8" i="129" l="1"/>
  <c r="Q9" i="129" s="1"/>
  <c r="P7" i="129"/>
  <c r="O7" i="129" s="1"/>
  <c r="S7" i="129"/>
  <c r="R7" i="129" s="1"/>
  <c r="P55" i="128"/>
  <c r="O55" i="128" s="1"/>
  <c r="R55" i="128"/>
  <c r="S8" i="129" l="1"/>
  <c r="R8" i="129" s="1"/>
  <c r="P8" i="129"/>
  <c r="O8" i="129" s="1"/>
  <c r="Q10" i="129" l="1"/>
  <c r="P9" i="129"/>
  <c r="O9" i="129" s="1"/>
  <c r="S9" i="129"/>
  <c r="R9" i="129" s="1"/>
  <c r="S10" i="129"/>
  <c r="R10" i="129" s="1"/>
  <c r="P10" i="129" l="1"/>
  <c r="O10" i="129" s="1"/>
  <c r="Q11" i="129"/>
  <c r="S11" i="129" l="1"/>
  <c r="R11" i="129" s="1"/>
  <c r="P11" i="129"/>
  <c r="O11" i="129" s="1"/>
  <c r="Q12" i="129"/>
  <c r="S12" i="129" l="1"/>
  <c r="R12" i="129" s="1"/>
  <c r="Q13" i="129"/>
  <c r="P12" i="129"/>
  <c r="O12" i="129" s="1"/>
  <c r="Q14" i="129" l="1"/>
  <c r="Q15" i="129" s="1"/>
  <c r="S15" i="129" s="1"/>
  <c r="S14" i="129"/>
  <c r="R14" i="129" s="1"/>
  <c r="S13" i="129"/>
  <c r="R13" i="129" s="1"/>
  <c r="P13" i="129"/>
  <c r="O13" i="129" s="1"/>
  <c r="P14" i="129" l="1"/>
  <c r="O14" i="129" s="1"/>
  <c r="P15" i="129" l="1"/>
  <c r="O15" i="129" s="1"/>
  <c r="Q16" i="129"/>
  <c r="R15" i="129"/>
  <c r="S16" i="129" l="1"/>
  <c r="R16" i="129" s="1"/>
  <c r="P16" i="129"/>
  <c r="O16" i="129" s="1"/>
  <c r="Q17" i="129"/>
  <c r="P17" i="129" l="1"/>
  <c r="O17" i="129" s="1"/>
  <c r="Q18" i="129"/>
  <c r="Q19" i="129" s="1"/>
  <c r="Q20" i="129" s="1"/>
  <c r="Q21" i="129" s="1"/>
  <c r="Q22" i="129" s="1"/>
  <c r="Q23" i="129" s="1"/>
  <c r="S17" i="129"/>
  <c r="R17" i="129" s="1"/>
  <c r="S22" i="129" l="1"/>
  <c r="P18" i="129"/>
  <c r="O18" i="129" s="1"/>
  <c r="S18" i="129"/>
  <c r="R18" i="129" s="1"/>
  <c r="P19" i="129" l="1"/>
  <c r="O19" i="129" s="1"/>
  <c r="S19" i="129"/>
  <c r="R19" i="129" s="1"/>
  <c r="P20" i="129" l="1"/>
  <c r="O20" i="129" s="1"/>
  <c r="S20" i="129"/>
  <c r="R20" i="129" s="1"/>
  <c r="P21" i="129" l="1"/>
  <c r="O21" i="129" s="1"/>
  <c r="S21" i="129"/>
  <c r="R21" i="129" s="1"/>
  <c r="P22" i="129" l="1"/>
  <c r="O22" i="129" s="1"/>
  <c r="R22" i="129"/>
  <c r="P23" i="129" l="1"/>
  <c r="O23" i="129" s="1"/>
  <c r="Q24" i="129"/>
  <c r="S23" i="129"/>
  <c r="R23" i="129" s="1"/>
  <c r="Q25" i="129" l="1"/>
  <c r="P24" i="129"/>
  <c r="O24" i="129" s="1"/>
  <c r="S24" i="129"/>
  <c r="R24" i="129" s="1"/>
  <c r="P25" i="129" l="1"/>
  <c r="O25" i="129" s="1"/>
  <c r="Q26" i="129"/>
  <c r="S25" i="129"/>
  <c r="R25" i="129" s="1"/>
  <c r="Q27" i="129" l="1"/>
  <c r="Q28" i="129" s="1"/>
  <c r="Q29" i="129" s="1"/>
  <c r="Q30" i="129" s="1"/>
  <c r="P26" i="129"/>
  <c r="O26" i="129" s="1"/>
  <c r="S26" i="129"/>
  <c r="R26" i="129" s="1"/>
  <c r="P27" i="129" l="1"/>
  <c r="O27" i="129" s="1"/>
  <c r="S27" i="129"/>
  <c r="R27" i="129" s="1"/>
  <c r="P28" i="129" l="1"/>
  <c r="O28" i="129" s="1"/>
  <c r="S28" i="129"/>
  <c r="R28" i="129" s="1"/>
  <c r="P29" i="129" l="1"/>
  <c r="O29" i="129" s="1"/>
  <c r="S29" i="129"/>
  <c r="R29" i="129" s="1"/>
  <c r="Q31" i="129" l="1"/>
  <c r="P30" i="129"/>
  <c r="O30" i="129" s="1"/>
  <c r="S30" i="129"/>
  <c r="R30" i="129" s="1"/>
  <c r="P31" i="129" l="1"/>
  <c r="O31" i="129" s="1"/>
  <c r="Q32" i="129"/>
  <c r="S31" i="129"/>
  <c r="R31" i="129" s="1"/>
  <c r="P32" i="129" l="1"/>
  <c r="O32" i="129" s="1"/>
  <c r="Q33" i="129"/>
  <c r="Q34" i="129" s="1"/>
  <c r="Q35" i="129" s="1"/>
  <c r="Q36" i="129" s="1"/>
  <c r="Q37" i="129" s="1"/>
  <c r="S32" i="129"/>
  <c r="R32" i="129" s="1"/>
  <c r="S35" i="129" l="1"/>
  <c r="P33" i="129"/>
  <c r="O33" i="129" s="1"/>
  <c r="S33" i="129"/>
  <c r="R33" i="129" s="1"/>
  <c r="P34" i="129" l="1"/>
  <c r="O34" i="129" s="1"/>
  <c r="S34" i="129"/>
  <c r="R34" i="129" s="1"/>
  <c r="P35" i="129" l="1"/>
  <c r="O35" i="129" s="1"/>
  <c r="R35" i="129"/>
  <c r="P36" i="129" l="1"/>
  <c r="O36" i="129" s="1"/>
  <c r="S36" i="129"/>
  <c r="R36" i="129" s="1"/>
  <c r="P37" i="129" l="1"/>
  <c r="O37" i="129" s="1"/>
  <c r="Q38" i="129"/>
  <c r="S37" i="129"/>
  <c r="R37" i="129" s="1"/>
  <c r="P38" i="129" l="1"/>
  <c r="O38" i="129" s="1"/>
  <c r="Q39" i="129"/>
  <c r="Q40" i="129" s="1"/>
  <c r="Q41" i="129" s="1"/>
  <c r="Q42" i="129" s="1"/>
  <c r="Q43" i="129" s="1"/>
  <c r="Q44" i="129" s="1"/>
  <c r="S38" i="129"/>
  <c r="R38" i="129" s="1"/>
  <c r="P39" i="129" l="1"/>
  <c r="O39" i="129" s="1"/>
  <c r="S39" i="129"/>
  <c r="R39" i="129" s="1"/>
  <c r="P40" i="129" l="1"/>
  <c r="O40" i="129" s="1"/>
  <c r="S40" i="129"/>
  <c r="R40" i="129" s="1"/>
  <c r="P41" i="129" l="1"/>
  <c r="O41" i="129" s="1"/>
  <c r="S41" i="129"/>
  <c r="R41" i="129" s="1"/>
  <c r="P42" i="129" l="1"/>
  <c r="O42" i="129" s="1"/>
  <c r="S42" i="129"/>
  <c r="R42" i="129" s="1"/>
  <c r="P43" i="129" l="1"/>
  <c r="O43" i="129" s="1"/>
  <c r="S43" i="129"/>
  <c r="R43" i="129" s="1"/>
  <c r="P44" i="129" l="1"/>
  <c r="O44" i="129" s="1"/>
  <c r="Q45" i="129"/>
  <c r="S44" i="129"/>
  <c r="R44" i="129" s="1"/>
  <c r="Q46" i="129" l="1"/>
  <c r="Q47" i="129" s="1"/>
  <c r="P45" i="129"/>
  <c r="O45" i="129" s="1"/>
  <c r="S45" i="129"/>
  <c r="R45" i="129" s="1"/>
  <c r="Q48" i="129" l="1"/>
  <c r="S48" i="129" s="1"/>
  <c r="S47" i="129"/>
  <c r="Q49" i="129"/>
  <c r="S49" i="129" s="1"/>
  <c r="P46" i="129"/>
  <c r="O46" i="129" s="1"/>
  <c r="S46" i="129"/>
  <c r="R46" i="129" s="1"/>
  <c r="P47" i="129" l="1"/>
  <c r="O47" i="129" s="1"/>
  <c r="R47" i="129"/>
  <c r="P48" i="129" l="1"/>
  <c r="O48" i="129" s="1"/>
  <c r="R48" i="129"/>
  <c r="P49" i="129" l="1"/>
  <c r="O49" i="129" s="1"/>
  <c r="Q50" i="129"/>
  <c r="S50" i="129" s="1"/>
  <c r="R49" i="129"/>
  <c r="P50" i="129" l="1"/>
  <c r="O50" i="129" s="1"/>
  <c r="Q51" i="129"/>
  <c r="R50" i="129"/>
  <c r="Q52" i="129" l="1"/>
  <c r="S51" i="129"/>
  <c r="P51" i="129"/>
  <c r="O51" i="129" s="1"/>
  <c r="R51" i="129"/>
  <c r="Q53" i="129" l="1"/>
  <c r="S52" i="129"/>
  <c r="P52" i="129"/>
  <c r="O52" i="129" s="1"/>
  <c r="R52" i="129"/>
  <c r="Q54" i="129" l="1"/>
  <c r="S54" i="129" s="1"/>
  <c r="S53" i="129"/>
  <c r="P53" i="129"/>
  <c r="O53" i="129" s="1"/>
  <c r="R53" i="129"/>
  <c r="Q55" i="129" l="1"/>
  <c r="S55" i="129" s="1"/>
  <c r="P54" i="129"/>
  <c r="O54" i="129" s="1"/>
  <c r="G52" i="130"/>
  <c r="Q7" i="130" s="1"/>
  <c r="R54" i="129"/>
  <c r="P7" i="130" l="1"/>
  <c r="O7" i="130" s="1"/>
  <c r="S7" i="130"/>
  <c r="R7" i="130" s="1"/>
  <c r="Q8" i="130"/>
  <c r="P55" i="129"/>
  <c r="O55" i="129" s="1"/>
  <c r="R55" i="129"/>
  <c r="S8" i="130" l="1"/>
  <c r="R8" i="130" s="1"/>
  <c r="Q9" i="130"/>
  <c r="P8" i="130"/>
  <c r="O8" i="130" s="1"/>
  <c r="P9" i="130" l="1"/>
  <c r="O9" i="130" s="1"/>
  <c r="Q10" i="130"/>
  <c r="S9" i="130"/>
  <c r="R9" i="130" s="1"/>
  <c r="S10" i="130" l="1"/>
  <c r="R10" i="130" s="1"/>
  <c r="Q11" i="130"/>
  <c r="Q12" i="130" s="1"/>
  <c r="Q13" i="130" s="1"/>
  <c r="P10" i="130"/>
  <c r="O10" i="130" s="1"/>
  <c r="P11" i="130" l="1"/>
  <c r="O11" i="130" s="1"/>
  <c r="S11" i="130"/>
  <c r="R11" i="130" s="1"/>
  <c r="S12" i="130" l="1"/>
  <c r="R12" i="130" s="1"/>
  <c r="P12" i="130"/>
  <c r="O12" i="130" s="1"/>
  <c r="S13" i="130" l="1"/>
  <c r="R13" i="130" s="1"/>
  <c r="Q14" i="130"/>
  <c r="P13" i="130"/>
  <c r="O13" i="130" s="1"/>
  <c r="S14" i="130" l="1"/>
  <c r="R14" i="130" s="1"/>
  <c r="P14" i="130"/>
  <c r="O14" i="130" s="1"/>
  <c r="Q15" i="130"/>
  <c r="Q16" i="130" s="1"/>
  <c r="S15" i="130" l="1"/>
  <c r="S16" i="130"/>
  <c r="R16" i="130" s="1"/>
  <c r="P15" i="130"/>
  <c r="O15" i="130" s="1"/>
  <c r="R15" i="130"/>
  <c r="P16" i="130" l="1"/>
  <c r="O16" i="130" s="1"/>
  <c r="Q17" i="130"/>
  <c r="Q18" i="130" l="1"/>
  <c r="P17" i="130"/>
  <c r="O17" i="130" s="1"/>
  <c r="S17" i="130"/>
  <c r="R17" i="130" s="1"/>
  <c r="Q19" i="130" l="1"/>
  <c r="Q20" i="130" s="1"/>
  <c r="Q21" i="130" s="1"/>
  <c r="Q22" i="130" s="1"/>
  <c r="Q23" i="130" s="1"/>
  <c r="P18" i="130"/>
  <c r="O18" i="130" s="1"/>
  <c r="S18" i="130"/>
  <c r="R18" i="130" s="1"/>
  <c r="P19" i="130" l="1"/>
  <c r="O19" i="130" s="1"/>
  <c r="S19" i="130"/>
  <c r="R19" i="130" s="1"/>
  <c r="P20" i="130" l="1"/>
  <c r="O20" i="130" s="1"/>
  <c r="S20" i="130"/>
  <c r="R20" i="130" s="1"/>
  <c r="P21" i="130" l="1"/>
  <c r="O21" i="130" s="1"/>
  <c r="S21" i="130"/>
  <c r="R21" i="130" s="1"/>
  <c r="P22" i="130" l="1"/>
  <c r="O22" i="130" s="1"/>
  <c r="S22" i="130"/>
  <c r="R22" i="130" s="1"/>
  <c r="P23" i="130" l="1"/>
  <c r="O23" i="130" s="1"/>
  <c r="Q24" i="130"/>
  <c r="S23" i="130"/>
  <c r="R23" i="130" s="1"/>
  <c r="Q25" i="130" l="1"/>
  <c r="Q26" i="130" s="1"/>
  <c r="P24" i="130"/>
  <c r="O24" i="130" s="1"/>
  <c r="S24" i="130"/>
  <c r="R24" i="130" s="1"/>
  <c r="P25" i="130" l="1"/>
  <c r="O25" i="130" s="1"/>
  <c r="S25" i="130"/>
  <c r="R25" i="130" s="1"/>
  <c r="Q27" i="130" l="1"/>
  <c r="P26" i="130"/>
  <c r="O26" i="130" s="1"/>
  <c r="S26" i="130"/>
  <c r="R26" i="130" s="1"/>
  <c r="Q28" i="130" l="1"/>
  <c r="Q29" i="130" s="1"/>
  <c r="Q30" i="130" s="1"/>
  <c r="P27" i="130"/>
  <c r="O27" i="130" s="1"/>
  <c r="S27" i="130"/>
  <c r="R27" i="130" s="1"/>
  <c r="P28" i="130" l="1"/>
  <c r="O28" i="130" s="1"/>
  <c r="S28" i="130"/>
  <c r="R28" i="130" s="1"/>
  <c r="P29" i="130" l="1"/>
  <c r="O29" i="130" s="1"/>
  <c r="S29" i="130"/>
  <c r="R29" i="130" s="1"/>
  <c r="P30" i="130" l="1"/>
  <c r="O30" i="130" s="1"/>
  <c r="Q31" i="130"/>
  <c r="S30" i="130"/>
  <c r="R30" i="130" s="1"/>
  <c r="P31" i="130" l="1"/>
  <c r="O31" i="130" s="1"/>
  <c r="Q32" i="130"/>
  <c r="Q33" i="130" s="1"/>
  <c r="Q34" i="130" s="1"/>
  <c r="S31" i="130"/>
  <c r="R31" i="130" s="1"/>
  <c r="P32" i="130" l="1"/>
  <c r="O32" i="130" s="1"/>
  <c r="S32" i="130"/>
  <c r="R32" i="130" s="1"/>
  <c r="P33" i="130" l="1"/>
  <c r="O33" i="130" s="1"/>
  <c r="S33" i="130"/>
  <c r="R33" i="130" s="1"/>
  <c r="Q35" i="130" l="1"/>
  <c r="Q36" i="130" s="1"/>
  <c r="Q37" i="130" s="1"/>
  <c r="P34" i="130"/>
  <c r="O34" i="130" s="1"/>
  <c r="S34" i="130"/>
  <c r="R34" i="130" s="1"/>
  <c r="P35" i="130" l="1"/>
  <c r="O35" i="130" s="1"/>
  <c r="S35" i="130"/>
  <c r="R35" i="130" s="1"/>
  <c r="P36" i="130" l="1"/>
  <c r="O36" i="130" s="1"/>
  <c r="S36" i="130"/>
  <c r="R36" i="130" s="1"/>
  <c r="P37" i="130" l="1"/>
  <c r="O37" i="130" s="1"/>
  <c r="Q38" i="130"/>
  <c r="S37" i="130"/>
  <c r="R37" i="130" s="1"/>
  <c r="P38" i="130" l="1"/>
  <c r="O38" i="130" s="1"/>
  <c r="Q39" i="130"/>
  <c r="S38" i="130"/>
  <c r="R38" i="130" s="1"/>
  <c r="P39" i="130" l="1"/>
  <c r="O39" i="130" s="1"/>
  <c r="Q40" i="130"/>
  <c r="S39" i="130"/>
  <c r="R39" i="130" s="1"/>
  <c r="Q41" i="130" l="1"/>
  <c r="Q42" i="130" s="1"/>
  <c r="Q43" i="130" s="1"/>
  <c r="Q44" i="130" s="1"/>
  <c r="P40" i="130"/>
  <c r="O40" i="130" s="1"/>
  <c r="S40" i="130"/>
  <c r="R40" i="130" s="1"/>
  <c r="P41" i="130" l="1"/>
  <c r="O41" i="130" s="1"/>
  <c r="S41" i="130"/>
  <c r="R41" i="130" s="1"/>
  <c r="P42" i="130" l="1"/>
  <c r="O42" i="130" s="1"/>
  <c r="S42" i="130"/>
  <c r="R42" i="130" s="1"/>
  <c r="P43" i="130" l="1"/>
  <c r="O43" i="130" s="1"/>
  <c r="S43" i="130"/>
  <c r="R43" i="130" s="1"/>
  <c r="P44" i="130" l="1"/>
  <c r="O44" i="130" s="1"/>
  <c r="Q45" i="130"/>
  <c r="S44" i="130"/>
  <c r="R44" i="130" s="1"/>
  <c r="Q46" i="130" l="1"/>
  <c r="Q47" i="130" s="1"/>
  <c r="P45" i="130"/>
  <c r="O45" i="130" s="1"/>
  <c r="S45" i="130"/>
  <c r="R45" i="130" s="1"/>
  <c r="P46" i="130" l="1"/>
  <c r="O46" i="130" s="1"/>
  <c r="S46" i="130"/>
  <c r="R46" i="130" s="1"/>
  <c r="Q48" i="130" l="1"/>
  <c r="P47" i="130"/>
  <c r="O47" i="130" s="1"/>
  <c r="S47" i="130"/>
  <c r="R47" i="130" s="1"/>
  <c r="G59" i="131" l="1"/>
  <c r="Q7" i="131" s="1"/>
  <c r="S48" i="130"/>
  <c r="P48" i="130"/>
  <c r="O48" i="130" s="1"/>
  <c r="R48" i="130"/>
  <c r="Q8" i="131" l="1"/>
  <c r="S7" i="131"/>
  <c r="R7" i="131" s="1"/>
  <c r="P7" i="131"/>
  <c r="O7" i="131" s="1"/>
  <c r="S8" i="131"/>
  <c r="R8" i="131" s="1"/>
  <c r="Q9" i="131" l="1"/>
  <c r="P8" i="131"/>
  <c r="O8" i="131" s="1"/>
  <c r="Q10" i="131" l="1"/>
  <c r="P9" i="131"/>
  <c r="O9" i="131" s="1"/>
  <c r="S9" i="131"/>
  <c r="R9" i="131" s="1"/>
  <c r="S10" i="131" l="1"/>
  <c r="R10" i="131" s="1"/>
  <c r="Q11" i="131"/>
  <c r="P10" i="131"/>
  <c r="O10" i="131" s="1"/>
  <c r="Q12" i="131" l="1"/>
  <c r="P11" i="131"/>
  <c r="O11" i="131" s="1"/>
  <c r="S11" i="131"/>
  <c r="R11" i="131" s="1"/>
  <c r="S12" i="131"/>
  <c r="R12" i="131" s="1"/>
  <c r="Q13" i="131" l="1"/>
  <c r="P12" i="131"/>
  <c r="O12" i="131" s="1"/>
  <c r="Q14" i="131" l="1"/>
  <c r="P13" i="131"/>
  <c r="O13" i="131" s="1"/>
  <c r="S13" i="131"/>
  <c r="R13" i="131" s="1"/>
  <c r="S14" i="131"/>
  <c r="R14" i="131" s="1"/>
  <c r="Q15" i="131" l="1"/>
  <c r="P14" i="131"/>
  <c r="O14" i="131" s="1"/>
  <c r="Q16" i="131" l="1"/>
  <c r="P15" i="131"/>
  <c r="O15" i="131" s="1"/>
  <c r="S16" i="131"/>
  <c r="R16" i="131" s="1"/>
  <c r="S15" i="131"/>
  <c r="R15" i="131" s="1"/>
  <c r="Q17" i="131" l="1"/>
  <c r="P16" i="131"/>
  <c r="O16" i="131" s="1"/>
  <c r="Q18" i="131" l="1"/>
  <c r="P17" i="131"/>
  <c r="O17" i="131" s="1"/>
  <c r="S17" i="131"/>
  <c r="R17" i="131" s="1"/>
  <c r="Q19" i="131" l="1"/>
  <c r="P18" i="131"/>
  <c r="O18" i="131" s="1"/>
  <c r="S18" i="131"/>
  <c r="R18" i="131" s="1"/>
  <c r="Q20" i="131" l="1"/>
  <c r="P19" i="131"/>
  <c r="O19" i="131" s="1"/>
  <c r="S19" i="131"/>
  <c r="R19" i="131" s="1"/>
  <c r="Q21" i="131" l="1"/>
  <c r="P20" i="131"/>
  <c r="O20" i="131" s="1"/>
  <c r="S20" i="131"/>
  <c r="R20" i="131" s="1"/>
  <c r="Q22" i="131" l="1"/>
  <c r="P21" i="131"/>
  <c r="O21" i="131" s="1"/>
  <c r="S21" i="131"/>
  <c r="R21" i="131" s="1"/>
  <c r="Q23" i="131" l="1"/>
  <c r="P22" i="131"/>
  <c r="O22" i="131" s="1"/>
  <c r="S22" i="131"/>
  <c r="R22" i="131" s="1"/>
  <c r="Q24" i="131" l="1"/>
  <c r="P23" i="131"/>
  <c r="O23" i="131" s="1"/>
  <c r="S23" i="131"/>
  <c r="R23" i="131" s="1"/>
  <c r="Q25" i="131" l="1"/>
  <c r="P24" i="131"/>
  <c r="O24" i="131" s="1"/>
  <c r="S24" i="131"/>
  <c r="R24" i="131" s="1"/>
  <c r="Q26" i="131" l="1"/>
  <c r="P25" i="131"/>
  <c r="O25" i="131" s="1"/>
  <c r="S25" i="131"/>
  <c r="R25" i="131" s="1"/>
  <c r="Q27" i="131" l="1"/>
  <c r="P26" i="131"/>
  <c r="O26" i="131" s="1"/>
  <c r="S26" i="131"/>
  <c r="R26" i="131" s="1"/>
  <c r="Q28" i="131" l="1"/>
  <c r="P27" i="131"/>
  <c r="O27" i="131" s="1"/>
  <c r="S27" i="131"/>
  <c r="R27" i="131" s="1"/>
  <c r="Q29" i="131" l="1"/>
  <c r="P28" i="131"/>
  <c r="O28" i="131" s="1"/>
  <c r="S28" i="131"/>
  <c r="R28" i="131" s="1"/>
  <c r="Q30" i="131" l="1"/>
  <c r="P29" i="131"/>
  <c r="O29" i="131" s="1"/>
  <c r="S29" i="131"/>
  <c r="R29" i="131" s="1"/>
  <c r="Q31" i="131" l="1"/>
  <c r="P30" i="131"/>
  <c r="O30" i="131" s="1"/>
  <c r="S30" i="131"/>
  <c r="R30" i="131" s="1"/>
  <c r="Q32" i="131" l="1"/>
  <c r="P31" i="131"/>
  <c r="O31" i="131" s="1"/>
  <c r="S31" i="131"/>
  <c r="R31" i="131" s="1"/>
  <c r="Q33" i="131" l="1"/>
  <c r="P32" i="131"/>
  <c r="O32" i="131" s="1"/>
  <c r="S32" i="131"/>
  <c r="R32" i="131" s="1"/>
  <c r="Q34" i="131" l="1"/>
  <c r="P33" i="131"/>
  <c r="O33" i="131" s="1"/>
  <c r="S33" i="131"/>
  <c r="R33" i="131" s="1"/>
  <c r="Q35" i="131" l="1"/>
  <c r="Q36" i="131" s="1"/>
  <c r="Q37" i="131" s="1"/>
  <c r="P34" i="131"/>
  <c r="O34" i="131" s="1"/>
  <c r="S34" i="131"/>
  <c r="R34" i="131" s="1"/>
  <c r="P35" i="131" l="1"/>
  <c r="O35" i="131" s="1"/>
  <c r="S35" i="131"/>
  <c r="R35" i="131" s="1"/>
  <c r="P36" i="131" l="1"/>
  <c r="O36" i="131" s="1"/>
  <c r="S36" i="131"/>
  <c r="R36" i="131" s="1"/>
  <c r="P37" i="131" l="1"/>
  <c r="O37" i="131" s="1"/>
  <c r="Q38" i="131"/>
  <c r="S37" i="131"/>
  <c r="R37" i="131" s="1"/>
  <c r="Q39" i="131" l="1"/>
  <c r="Q40" i="131" s="1"/>
  <c r="P38" i="131"/>
  <c r="O38" i="131" s="1"/>
  <c r="S38" i="131"/>
  <c r="R38" i="131" s="1"/>
  <c r="Q41" i="131" l="1"/>
  <c r="Q42" i="131" s="1"/>
  <c r="Q43" i="131" s="1"/>
  <c r="Q44" i="131" s="1"/>
  <c r="S40" i="131"/>
  <c r="P39" i="131"/>
  <c r="O39" i="131" s="1"/>
  <c r="S39" i="131"/>
  <c r="R39" i="131" s="1"/>
  <c r="P40" i="131" l="1"/>
  <c r="O40" i="131" s="1"/>
  <c r="R40" i="131"/>
  <c r="P41" i="131" l="1"/>
  <c r="O41" i="131" s="1"/>
  <c r="S41" i="131"/>
  <c r="R41" i="131" s="1"/>
  <c r="P42" i="131" l="1"/>
  <c r="O42" i="131" s="1"/>
  <c r="S42" i="131"/>
  <c r="R42" i="131" s="1"/>
  <c r="P43" i="131" l="1"/>
  <c r="O43" i="131" s="1"/>
  <c r="S43" i="131"/>
  <c r="R43" i="131" s="1"/>
  <c r="P44" i="131" l="1"/>
  <c r="O44" i="131" s="1"/>
  <c r="Q45" i="131"/>
  <c r="S44" i="131"/>
  <c r="R44" i="131" s="1"/>
  <c r="P45" i="131" l="1"/>
  <c r="O45" i="131" s="1"/>
  <c r="Q46" i="131"/>
  <c r="S45" i="131"/>
  <c r="R45" i="131" s="1"/>
  <c r="P46" i="131" l="1"/>
  <c r="O46" i="131" s="1"/>
  <c r="Q47" i="131"/>
  <c r="S46" i="131"/>
  <c r="R46" i="131" s="1"/>
  <c r="P47" i="131" l="1"/>
  <c r="O47" i="131" s="1"/>
  <c r="Q48" i="131"/>
  <c r="Q49" i="131" s="1"/>
  <c r="S47" i="131"/>
  <c r="R47" i="131" s="1"/>
  <c r="P48" i="131" l="1"/>
  <c r="O48" i="131" s="1"/>
  <c r="S48" i="131"/>
  <c r="R48" i="131" s="1"/>
  <c r="Q50" i="131" l="1"/>
  <c r="Q51" i="131" s="1"/>
  <c r="Q52" i="131" s="1"/>
  <c r="Q53" i="131" s="1"/>
  <c r="Q54" i="131" s="1"/>
  <c r="Q55" i="131" s="1"/>
  <c r="S55" i="131" s="1"/>
  <c r="P49" i="131"/>
  <c r="O49" i="131" s="1"/>
  <c r="S49" i="131"/>
  <c r="R49" i="131" s="1"/>
  <c r="P50" i="131" l="1"/>
  <c r="O50" i="131" s="1"/>
  <c r="S50" i="131"/>
  <c r="R50" i="131" s="1"/>
  <c r="P51" i="131" l="1"/>
  <c r="O51" i="131" s="1"/>
  <c r="S51" i="131"/>
  <c r="R51" i="131" s="1"/>
  <c r="P52" i="131" l="1"/>
  <c r="O52" i="131" s="1"/>
  <c r="S52" i="131"/>
  <c r="R52" i="131" s="1"/>
  <c r="P53" i="131" l="1"/>
  <c r="O53" i="131" s="1"/>
  <c r="S53" i="131"/>
  <c r="R53" i="131" s="1"/>
  <c r="G52" i="132" l="1"/>
  <c r="Q7" i="132" s="1"/>
  <c r="P54" i="131"/>
  <c r="O54" i="131" s="1"/>
  <c r="S54" i="131"/>
  <c r="R54" i="131" s="1"/>
  <c r="Q8" i="132" l="1"/>
  <c r="Q9" i="132" s="1"/>
  <c r="P7" i="132"/>
  <c r="O7" i="132" s="1"/>
  <c r="S7" i="132"/>
  <c r="R7" i="132" s="1"/>
  <c r="P55" i="131"/>
  <c r="O55" i="131" s="1"/>
  <c r="R55" i="131"/>
  <c r="S8" i="132" l="1"/>
  <c r="R8" i="132" s="1"/>
  <c r="P8" i="132"/>
  <c r="O8" i="132" s="1"/>
  <c r="S9" i="132" l="1"/>
  <c r="R9" i="132" s="1"/>
  <c r="P9" i="132"/>
  <c r="O9" i="132" s="1"/>
  <c r="Q10" i="132"/>
  <c r="Q11" i="132" l="1"/>
  <c r="Q12" i="132" s="1"/>
  <c r="P10" i="132"/>
  <c r="O10" i="132" s="1"/>
  <c r="S10" i="132"/>
  <c r="R10" i="132" s="1"/>
  <c r="S11" i="132" l="1"/>
  <c r="R11" i="132" s="1"/>
  <c r="P11" i="132"/>
  <c r="O11" i="132" s="1"/>
  <c r="S12" i="132"/>
  <c r="R12" i="132" s="1"/>
  <c r="Q13" i="132" l="1"/>
  <c r="P12" i="132"/>
  <c r="O12" i="132" s="1"/>
  <c r="Q14" i="132" l="1"/>
  <c r="P13" i="132"/>
  <c r="O13" i="132" s="1"/>
  <c r="S13" i="132"/>
  <c r="R13" i="132" s="1"/>
  <c r="S14" i="132" l="1"/>
  <c r="R14" i="132" s="1"/>
  <c r="Q15" i="132"/>
  <c r="Q16" i="132" s="1"/>
  <c r="P14" i="132"/>
  <c r="O14" i="132" s="1"/>
  <c r="P15" i="132" l="1"/>
  <c r="O15" i="132" s="1"/>
  <c r="S16" i="132"/>
  <c r="R16" i="132" s="1"/>
  <c r="S15" i="132"/>
  <c r="R15" i="132" s="1"/>
  <c r="P16" i="132" l="1"/>
  <c r="O16" i="132" s="1"/>
  <c r="Q17" i="132"/>
  <c r="P17" i="132" l="1"/>
  <c r="O17" i="132" s="1"/>
  <c r="Q18" i="132"/>
  <c r="S17" i="132"/>
  <c r="R17" i="132" s="1"/>
  <c r="Q19" i="132" l="1"/>
  <c r="S18" i="132"/>
  <c r="P18" i="132"/>
  <c r="O18" i="132" s="1"/>
  <c r="R18" i="132"/>
  <c r="P19" i="132" l="1"/>
  <c r="O19" i="132" s="1"/>
  <c r="Q20" i="132"/>
  <c r="Q21" i="132" s="1"/>
  <c r="Q22" i="132" s="1"/>
  <c r="S19" i="132"/>
  <c r="R19" i="132" s="1"/>
  <c r="P20" i="132" l="1"/>
  <c r="O20" i="132" s="1"/>
  <c r="S20" i="132"/>
  <c r="R20" i="132" s="1"/>
  <c r="P21" i="132" l="1"/>
  <c r="O21" i="132" s="1"/>
  <c r="S21" i="132"/>
  <c r="R21" i="132" s="1"/>
  <c r="P22" i="132" l="1"/>
  <c r="O22" i="132" s="1"/>
  <c r="Q23" i="132"/>
  <c r="S22" i="132"/>
  <c r="R22" i="132" s="1"/>
  <c r="P23" i="132" l="1"/>
  <c r="O23" i="132" s="1"/>
  <c r="Q24" i="132"/>
  <c r="S23" i="132"/>
  <c r="R23" i="132" s="1"/>
  <c r="Q25" i="132" l="1"/>
  <c r="Q26" i="132" s="1"/>
  <c r="P24" i="132"/>
  <c r="O24" i="132" s="1"/>
  <c r="S24" i="132"/>
  <c r="R24" i="132" s="1"/>
  <c r="P25" i="132" l="1"/>
  <c r="O25" i="132" s="1"/>
  <c r="S25" i="132"/>
  <c r="R25" i="132" s="1"/>
  <c r="P26" i="132" l="1"/>
  <c r="O26" i="132" s="1"/>
  <c r="Q27" i="132"/>
  <c r="Q28" i="132" s="1"/>
  <c r="S26" i="132"/>
  <c r="R26" i="132" s="1"/>
  <c r="P27" i="132" l="1"/>
  <c r="O27" i="132" s="1"/>
  <c r="S27" i="132"/>
  <c r="R27" i="132" s="1"/>
  <c r="Q29" i="132" l="1"/>
  <c r="P28" i="132"/>
  <c r="O28" i="132" s="1"/>
  <c r="S28" i="132"/>
  <c r="R28" i="132" s="1"/>
  <c r="Q30" i="132" l="1"/>
  <c r="S29" i="132"/>
  <c r="P29" i="132"/>
  <c r="O29" i="132" s="1"/>
  <c r="R29" i="132"/>
  <c r="Q31" i="132" l="1"/>
  <c r="P30" i="132"/>
  <c r="O30" i="132" s="1"/>
  <c r="S30" i="132"/>
  <c r="R30" i="132" s="1"/>
  <c r="Q32" i="132" l="1"/>
  <c r="Q33" i="132" s="1"/>
  <c r="P31" i="132"/>
  <c r="O31" i="132" s="1"/>
  <c r="S31" i="132"/>
  <c r="R31" i="132" s="1"/>
  <c r="Q34" i="132" l="1"/>
  <c r="S33" i="132"/>
  <c r="P32" i="132"/>
  <c r="O32" i="132" s="1"/>
  <c r="S32" i="132"/>
  <c r="R32" i="132" s="1"/>
  <c r="Q35" i="132" l="1"/>
  <c r="S34" i="132"/>
  <c r="P33" i="132"/>
  <c r="O33" i="132" s="1"/>
  <c r="R33" i="132"/>
  <c r="Q36" i="132" l="1"/>
  <c r="S36" i="132" s="1"/>
  <c r="S35" i="132"/>
  <c r="P34" i="132"/>
  <c r="O34" i="132" s="1"/>
  <c r="R34" i="132"/>
  <c r="P35" i="132" l="1"/>
  <c r="O35" i="132" s="1"/>
  <c r="R35" i="132"/>
  <c r="P36" i="132" l="1"/>
  <c r="O36" i="132" s="1"/>
  <c r="Q37" i="132"/>
  <c r="R36" i="132"/>
  <c r="P37" i="132" l="1"/>
  <c r="O37" i="132" s="1"/>
  <c r="Q38" i="132"/>
  <c r="S37" i="132"/>
  <c r="R37" i="132" s="1"/>
  <c r="Q39" i="132" l="1"/>
  <c r="Q40" i="132" s="1"/>
  <c r="Q41" i="132" s="1"/>
  <c r="Q42" i="132" s="1"/>
  <c r="Q43" i="132" s="1"/>
  <c r="P38" i="132"/>
  <c r="O38" i="132" s="1"/>
  <c r="S38" i="132"/>
  <c r="R38" i="132" s="1"/>
  <c r="P39" i="132" l="1"/>
  <c r="O39" i="132" s="1"/>
  <c r="S39" i="132"/>
  <c r="R39" i="132" s="1"/>
  <c r="P40" i="132" l="1"/>
  <c r="O40" i="132" s="1"/>
  <c r="S40" i="132"/>
  <c r="R40" i="132" s="1"/>
  <c r="P41" i="132" l="1"/>
  <c r="O41" i="132" s="1"/>
  <c r="S41" i="132"/>
  <c r="R41" i="132" s="1"/>
  <c r="P42" i="132" l="1"/>
  <c r="O42" i="132" s="1"/>
  <c r="S42" i="132"/>
  <c r="R42" i="132" s="1"/>
  <c r="P43" i="132" l="1"/>
  <c r="O43" i="132" s="1"/>
  <c r="Q44" i="132"/>
  <c r="S43" i="132"/>
  <c r="R43" i="132" s="1"/>
  <c r="P44" i="132" l="1"/>
  <c r="O44" i="132" s="1"/>
  <c r="Q45" i="132"/>
  <c r="S44" i="132"/>
  <c r="R44" i="132" s="1"/>
  <c r="Q46" i="132" l="1"/>
  <c r="P45" i="132"/>
  <c r="O45" i="132" s="1"/>
  <c r="S45" i="132"/>
  <c r="R45" i="132" s="1"/>
  <c r="P46" i="132" l="1"/>
  <c r="O46" i="132" s="1"/>
  <c r="Q47" i="132"/>
  <c r="Q48" i="132" s="1"/>
  <c r="S48" i="132" s="1"/>
  <c r="S46" i="132"/>
  <c r="R46" i="132" s="1"/>
  <c r="P47" i="132" l="1"/>
  <c r="O47" i="132" s="1"/>
  <c r="G52" i="133"/>
  <c r="Q7" i="133" s="1"/>
  <c r="S47" i="132"/>
  <c r="R47" i="132" s="1"/>
  <c r="Q8" i="133" l="1"/>
  <c r="P7" i="133"/>
  <c r="O7" i="133" s="1"/>
  <c r="S7" i="133"/>
  <c r="R7" i="133" s="1"/>
  <c r="P48" i="132"/>
  <c r="O48" i="132" s="1"/>
  <c r="R48" i="132"/>
  <c r="S8" i="133" l="1"/>
  <c r="R8" i="133" s="1"/>
  <c r="Q9" i="133"/>
  <c r="P8" i="133"/>
  <c r="O8" i="133" s="1"/>
  <c r="P9" i="133" l="1"/>
  <c r="O9" i="133" s="1"/>
  <c r="Q10" i="133"/>
  <c r="S9" i="133"/>
  <c r="R9" i="133" s="1"/>
  <c r="S10" i="133" l="1"/>
  <c r="R10" i="133" s="1"/>
  <c r="Q11" i="133"/>
  <c r="P10" i="133"/>
  <c r="O10" i="133" s="1"/>
  <c r="S11" i="133" l="1"/>
  <c r="R11" i="133" s="1"/>
  <c r="P11" i="133"/>
  <c r="O11" i="133" s="1"/>
  <c r="Q12" i="133"/>
  <c r="Q13" i="133" s="1"/>
  <c r="Q14" i="133" s="1"/>
  <c r="Q15" i="133" s="1"/>
  <c r="S12" i="133" l="1"/>
  <c r="R12" i="133" s="1"/>
  <c r="P12" i="133"/>
  <c r="O12" i="133" s="1"/>
  <c r="S13" i="133" l="1"/>
  <c r="R13" i="133" s="1"/>
  <c r="P13" i="133"/>
  <c r="O13" i="133" s="1"/>
  <c r="S14" i="133"/>
  <c r="R14" i="133" s="1"/>
  <c r="P14" i="133" l="1"/>
  <c r="O14" i="133" s="1"/>
  <c r="S15" i="133" l="1"/>
  <c r="R15" i="133" s="1"/>
  <c r="Q16" i="133"/>
  <c r="S16" i="133" s="1"/>
  <c r="R16" i="133" s="1"/>
  <c r="P15" i="133"/>
  <c r="O15" i="133" s="1"/>
  <c r="P16" i="133" l="1"/>
  <c r="O16" i="133" s="1"/>
  <c r="Q17" i="133"/>
  <c r="P17" i="133" l="1"/>
  <c r="O17" i="133" s="1"/>
  <c r="Q18" i="133"/>
  <c r="S17" i="133"/>
  <c r="R17" i="133" s="1"/>
  <c r="Q19" i="133" l="1"/>
  <c r="Q20" i="133" s="1"/>
  <c r="Q21" i="133" s="1"/>
  <c r="Q22" i="133" s="1"/>
  <c r="P18" i="133"/>
  <c r="O18" i="133" s="1"/>
  <c r="S18" i="133"/>
  <c r="R18" i="133" s="1"/>
  <c r="P19" i="133" l="1"/>
  <c r="O19" i="133" s="1"/>
  <c r="S19" i="133"/>
  <c r="R19" i="133" s="1"/>
  <c r="P20" i="133" l="1"/>
  <c r="O20" i="133" s="1"/>
  <c r="S20" i="133"/>
  <c r="R20" i="133" s="1"/>
  <c r="P21" i="133" l="1"/>
  <c r="O21" i="133" s="1"/>
  <c r="S21" i="133"/>
  <c r="R21" i="133" s="1"/>
  <c r="P22" i="133" l="1"/>
  <c r="O22" i="133" s="1"/>
  <c r="Q23" i="133"/>
  <c r="S22" i="133"/>
  <c r="R22" i="133" s="1"/>
  <c r="P23" i="133" l="1"/>
  <c r="O23" i="133" s="1"/>
  <c r="Q24" i="133"/>
  <c r="S23" i="133"/>
  <c r="R23" i="133" s="1"/>
  <c r="P24" i="133" l="1"/>
  <c r="O24" i="133" s="1"/>
  <c r="Q25" i="133"/>
  <c r="Q26" i="133" s="1"/>
  <c r="Q27" i="133" s="1"/>
  <c r="S24" i="133"/>
  <c r="R24" i="133" s="1"/>
  <c r="P25" i="133" l="1"/>
  <c r="O25" i="133" s="1"/>
  <c r="S25" i="133"/>
  <c r="R25" i="133" s="1"/>
  <c r="P26" i="133" l="1"/>
  <c r="O26" i="133" s="1"/>
  <c r="S26" i="133"/>
  <c r="R26" i="133" s="1"/>
  <c r="Q28" i="133" l="1"/>
  <c r="Q29" i="133" s="1"/>
  <c r="Q30" i="133" s="1"/>
  <c r="P27" i="133"/>
  <c r="O27" i="133" s="1"/>
  <c r="S27" i="133"/>
  <c r="R27" i="133" s="1"/>
  <c r="P28" i="133" l="1"/>
  <c r="O28" i="133" s="1"/>
  <c r="S28" i="133"/>
  <c r="R28" i="133" s="1"/>
  <c r="P29" i="133" l="1"/>
  <c r="O29" i="133" s="1"/>
  <c r="S29" i="133"/>
  <c r="R29" i="133" s="1"/>
  <c r="Q31" i="133" l="1"/>
  <c r="P30" i="133"/>
  <c r="O30" i="133" s="1"/>
  <c r="S30" i="133"/>
  <c r="R30" i="133" s="1"/>
  <c r="P31" i="133" l="1"/>
  <c r="O31" i="133" s="1"/>
  <c r="Q32" i="133"/>
  <c r="S31" i="133"/>
  <c r="R31" i="133" s="1"/>
  <c r="P32" i="133" l="1"/>
  <c r="O32" i="133" s="1"/>
  <c r="Q33" i="133"/>
  <c r="Q34" i="133" s="1"/>
  <c r="Q35" i="133" s="1"/>
  <c r="Q36" i="133" s="1"/>
  <c r="S32" i="133"/>
  <c r="R32" i="133" s="1"/>
  <c r="P33" i="133" l="1"/>
  <c r="O33" i="133" s="1"/>
  <c r="S33" i="133"/>
  <c r="R33" i="133" s="1"/>
  <c r="P34" i="133" l="1"/>
  <c r="O34" i="133" s="1"/>
  <c r="S34" i="133"/>
  <c r="R34" i="133" s="1"/>
  <c r="P35" i="133" l="1"/>
  <c r="O35" i="133" s="1"/>
  <c r="S35" i="133"/>
  <c r="R35" i="133" s="1"/>
  <c r="Q37" i="133" l="1"/>
  <c r="S37" i="133" s="1"/>
  <c r="P36" i="133"/>
  <c r="O36" i="133" s="1"/>
  <c r="S36" i="133"/>
  <c r="R36" i="133" s="1"/>
  <c r="P37" i="133" l="1"/>
  <c r="O37" i="133" s="1"/>
  <c r="Q38" i="133"/>
  <c r="R37" i="133"/>
  <c r="P38" i="133" l="1"/>
  <c r="O38" i="133" s="1"/>
  <c r="Q39" i="133"/>
  <c r="S39" i="133" s="1"/>
  <c r="S38" i="133"/>
  <c r="R38" i="133" s="1"/>
  <c r="P39" i="133" l="1"/>
  <c r="O39" i="133" s="1"/>
  <c r="Q40" i="133"/>
  <c r="S40" i="133" s="1"/>
  <c r="R39" i="133"/>
  <c r="Q41" i="133" l="1"/>
  <c r="S41" i="133" s="1"/>
  <c r="P40" i="133"/>
  <c r="O40" i="133" s="1"/>
  <c r="R40" i="133"/>
  <c r="Q42" i="133" l="1"/>
  <c r="Q43" i="133" s="1"/>
  <c r="P41" i="133"/>
  <c r="O41" i="133" s="1"/>
  <c r="R41" i="133"/>
  <c r="Q44" i="133" l="1"/>
  <c r="S43" i="133"/>
  <c r="P42" i="133"/>
  <c r="O42" i="133" s="1"/>
  <c r="S42" i="133"/>
  <c r="R42" i="133" s="1"/>
  <c r="P43" i="133" l="1"/>
  <c r="O43" i="133" s="1"/>
  <c r="R43" i="133"/>
  <c r="P44" i="133" l="1"/>
  <c r="O44" i="133" s="1"/>
  <c r="Q45" i="133"/>
  <c r="S44" i="133"/>
  <c r="R44" i="133" s="1"/>
  <c r="Q46" i="133" l="1"/>
  <c r="P45" i="133"/>
  <c r="O45" i="133" s="1"/>
  <c r="S45" i="133"/>
  <c r="R45" i="133" s="1"/>
  <c r="Q47" i="133" l="1"/>
  <c r="S46" i="133"/>
  <c r="P46" i="133"/>
  <c r="O46" i="133" s="1"/>
  <c r="R46" i="133"/>
  <c r="Q48" i="133" l="1"/>
  <c r="S48" i="133" s="1"/>
  <c r="S47" i="133"/>
  <c r="R47" i="133" s="1"/>
  <c r="P47" i="133"/>
  <c r="O47" i="133" s="1"/>
  <c r="R48" i="133" l="1"/>
  <c r="P48" i="133"/>
  <c r="O48" i="133" s="1"/>
  <c r="S7" i="134" l="1"/>
  <c r="R7" i="134" s="1"/>
  <c r="Q8" i="134"/>
  <c r="P7" i="134"/>
  <c r="O7" i="134" s="1"/>
  <c r="S8" i="134" l="1"/>
  <c r="R8" i="134" s="1"/>
  <c r="Q9" i="134"/>
  <c r="Q10" i="134" s="1"/>
  <c r="S10" i="134" s="1"/>
  <c r="R10" i="134" s="1"/>
  <c r="P8" i="134"/>
  <c r="O8" i="134" s="1"/>
  <c r="S9" i="134" l="1"/>
  <c r="R9" i="134" s="1"/>
  <c r="P9" i="134"/>
  <c r="O9" i="134" s="1"/>
  <c r="Q11" i="134"/>
  <c r="Q12" i="134" s="1"/>
  <c r="Q13" i="134" l="1"/>
  <c r="Q14" i="134" s="1"/>
  <c r="P10" i="134"/>
  <c r="O10" i="134" s="1"/>
  <c r="S11" i="134"/>
  <c r="R11" i="134" s="1"/>
  <c r="P11" i="134"/>
  <c r="O11" i="134" s="1"/>
  <c r="S12" i="134"/>
  <c r="R12" i="134" s="1"/>
  <c r="S13" i="134" l="1"/>
  <c r="Q15" i="134"/>
  <c r="Q16" i="134" s="1"/>
  <c r="S14" i="134"/>
  <c r="P12" i="134"/>
  <c r="O12" i="134" s="1"/>
  <c r="R14" i="134"/>
  <c r="R13" i="134"/>
  <c r="P13" i="134" l="1"/>
  <c r="O13" i="134" s="1"/>
  <c r="P14" i="134" l="1"/>
  <c r="O14" i="134" s="1"/>
  <c r="S15" i="134"/>
  <c r="R15" i="134" s="1"/>
  <c r="P15" i="134"/>
  <c r="O15" i="134" s="1"/>
  <c r="S16" i="134"/>
  <c r="R16" i="134" s="1"/>
  <c r="P16" i="134" l="1"/>
  <c r="O16" i="134" s="1"/>
  <c r="Q17" i="134"/>
  <c r="P17" i="134" l="1"/>
  <c r="O17" i="134" s="1"/>
  <c r="Q18" i="134"/>
  <c r="S17" i="134"/>
  <c r="R17" i="134" s="1"/>
  <c r="P18" i="134" l="1"/>
  <c r="O18" i="134" s="1"/>
  <c r="Q19" i="134"/>
  <c r="S18" i="134"/>
  <c r="R18" i="134" s="1"/>
  <c r="Q20" i="134" l="1"/>
  <c r="Q21" i="134" s="1"/>
  <c r="Q22" i="134" s="1"/>
  <c r="Q23" i="134" s="1"/>
  <c r="S19" i="134"/>
  <c r="R19" i="134" s="1"/>
  <c r="P19" i="134"/>
  <c r="O19" i="134" s="1"/>
  <c r="P20" i="134" l="1"/>
  <c r="O20" i="134" s="1"/>
  <c r="S20" i="134"/>
  <c r="R20" i="134" s="1"/>
  <c r="P21" i="134" l="1"/>
  <c r="O21" i="134" s="1"/>
  <c r="S21" i="134"/>
  <c r="R21" i="134" s="1"/>
  <c r="P22" i="134" l="1"/>
  <c r="O22" i="134" s="1"/>
  <c r="S22" i="134"/>
  <c r="R22" i="134" s="1"/>
  <c r="P23" i="134" l="1"/>
  <c r="O23" i="134" s="1"/>
  <c r="Q24" i="134"/>
  <c r="S23" i="134"/>
  <c r="R23" i="134" s="1"/>
  <c r="Q25" i="134" l="1"/>
  <c r="P24" i="134"/>
  <c r="O24" i="134" s="1"/>
  <c r="S24" i="134"/>
  <c r="R24" i="134" s="1"/>
  <c r="P25" i="134" l="1"/>
  <c r="O25" i="134" s="1"/>
  <c r="Q26" i="134"/>
  <c r="Q27" i="134" s="1"/>
  <c r="Q28" i="134" s="1"/>
  <c r="S25" i="134"/>
  <c r="R25" i="134" s="1"/>
  <c r="S27" i="134" l="1"/>
  <c r="Q29" i="134"/>
  <c r="Q30" i="134" s="1"/>
  <c r="P26" i="134"/>
  <c r="O26" i="134" s="1"/>
  <c r="S26" i="134"/>
  <c r="R26" i="134" s="1"/>
  <c r="P27" i="134" l="1"/>
  <c r="O27" i="134" s="1"/>
  <c r="R27" i="134"/>
  <c r="P28" i="134" l="1"/>
  <c r="O28" i="134" s="1"/>
  <c r="S28" i="134"/>
  <c r="R28" i="134" s="1"/>
  <c r="P29" i="134" l="1"/>
  <c r="O29" i="134" s="1"/>
  <c r="S29" i="134"/>
  <c r="R29" i="134" s="1"/>
  <c r="Q31" i="134" l="1"/>
  <c r="P30" i="134"/>
  <c r="O30" i="134" s="1"/>
  <c r="S30" i="134"/>
  <c r="R30" i="134" s="1"/>
  <c r="P31" i="134" l="1"/>
  <c r="O31" i="134" s="1"/>
  <c r="Q32" i="134"/>
  <c r="Q33" i="134" s="1"/>
  <c r="S31" i="134"/>
  <c r="R31" i="134" s="1"/>
  <c r="Q34" i="134" l="1"/>
  <c r="Q35" i="134" s="1"/>
  <c r="S33" i="134"/>
  <c r="P32" i="134"/>
  <c r="O32" i="134" s="1"/>
  <c r="S32" i="134"/>
  <c r="R32" i="134" s="1"/>
  <c r="P33" i="134" l="1"/>
  <c r="O33" i="134" s="1"/>
  <c r="R33" i="134"/>
  <c r="Q36" i="134" l="1"/>
  <c r="Q37" i="134" s="1"/>
  <c r="P34" i="134"/>
  <c r="O34" i="134" s="1"/>
  <c r="S34" i="134"/>
  <c r="R34" i="134" s="1"/>
  <c r="P35" i="134" l="1"/>
  <c r="O35" i="134" s="1"/>
  <c r="S35" i="134"/>
  <c r="R35" i="134" s="1"/>
  <c r="P36" i="134" l="1"/>
  <c r="O36" i="134" s="1"/>
  <c r="S36" i="134"/>
  <c r="R36" i="134" s="1"/>
  <c r="P37" i="134" l="1"/>
  <c r="O37" i="134" s="1"/>
  <c r="Q38" i="134"/>
  <c r="S37" i="134"/>
  <c r="R37" i="134" s="1"/>
  <c r="P38" i="134" l="1"/>
  <c r="O38" i="134" s="1"/>
  <c r="Q39" i="134"/>
  <c r="Q40" i="134" s="1"/>
  <c r="Q41" i="134" s="1"/>
  <c r="Q42" i="134" s="1"/>
  <c r="Q43" i="134" s="1"/>
  <c r="S38" i="134"/>
  <c r="R38" i="134" s="1"/>
  <c r="Q44" i="134" l="1"/>
  <c r="S43" i="134"/>
  <c r="P39" i="134"/>
  <c r="O39" i="134" s="1"/>
  <c r="S39" i="134"/>
  <c r="R39" i="134" s="1"/>
  <c r="P40" i="134" l="1"/>
  <c r="O40" i="134" s="1"/>
  <c r="S40" i="134"/>
  <c r="R40" i="134" s="1"/>
  <c r="P41" i="134" l="1"/>
  <c r="O41" i="134" s="1"/>
  <c r="S41" i="134"/>
  <c r="R41" i="134" s="1"/>
  <c r="P42" i="134" l="1"/>
  <c r="O42" i="134" s="1"/>
  <c r="S42" i="134"/>
  <c r="R42" i="134" s="1"/>
  <c r="P43" i="134" l="1"/>
  <c r="O43" i="134" s="1"/>
  <c r="R43" i="134"/>
  <c r="Q45" i="134" l="1"/>
  <c r="P44" i="134"/>
  <c r="O44" i="134" s="1"/>
  <c r="S44" i="134"/>
  <c r="R44" i="134" s="1"/>
  <c r="Q46" i="134" l="1"/>
  <c r="Q47" i="134" s="1"/>
  <c r="S47" i="134" s="1"/>
  <c r="P45" i="134"/>
  <c r="O45" i="134" s="1"/>
  <c r="S45" i="134"/>
  <c r="R45" i="134" s="1"/>
  <c r="P46" i="134" l="1"/>
  <c r="O46" i="134" s="1"/>
  <c r="S46" i="134"/>
  <c r="R46" i="134" s="1"/>
  <c r="Q48" i="134" l="1"/>
  <c r="P47" i="134"/>
  <c r="O47" i="134" s="1"/>
  <c r="R47" i="134"/>
  <c r="G59" i="136" l="1"/>
  <c r="Q7" i="136" s="1"/>
  <c r="S48" i="134"/>
  <c r="P48" i="134"/>
  <c r="O48" i="134" s="1"/>
  <c r="R48" i="134"/>
  <c r="Q8" i="136" l="1"/>
  <c r="S7" i="136"/>
  <c r="R7" i="136" s="1"/>
  <c r="P7" i="136"/>
  <c r="O7" i="136" s="1"/>
  <c r="S8" i="136"/>
  <c r="R8" i="136" s="1"/>
  <c r="P8" i="136" l="1"/>
  <c r="O8" i="136" s="1"/>
  <c r="Q9" i="136"/>
  <c r="P9" i="136" l="1"/>
  <c r="O9" i="136" s="1"/>
  <c r="Q10" i="136"/>
  <c r="S10" i="136" s="1"/>
  <c r="R10" i="136" s="1"/>
  <c r="S9" i="136"/>
  <c r="R9" i="136" s="1"/>
  <c r="P10" i="136" l="1"/>
  <c r="O10" i="136" s="1"/>
  <c r="Q11" i="136"/>
  <c r="Q12" i="136" l="1"/>
  <c r="P11" i="136"/>
  <c r="O11" i="136" s="1"/>
  <c r="S11" i="136"/>
  <c r="R11" i="136" s="1"/>
  <c r="S12" i="136"/>
  <c r="R12" i="136" s="1"/>
  <c r="Q13" i="136" l="1"/>
  <c r="P12" i="136"/>
  <c r="O12" i="136" s="1"/>
  <c r="P13" i="136" l="1"/>
  <c r="O13" i="136" s="1"/>
  <c r="Q14" i="136"/>
  <c r="S13" i="136"/>
  <c r="R13" i="136" s="1"/>
  <c r="S14" i="136"/>
  <c r="R14" i="136" s="1"/>
  <c r="Q15" i="136" l="1"/>
  <c r="P14" i="136"/>
  <c r="O14" i="136" s="1"/>
  <c r="Q16" i="136" l="1"/>
  <c r="P15" i="136"/>
  <c r="O15" i="136" s="1"/>
  <c r="S16" i="136"/>
  <c r="R16" i="136" s="1"/>
  <c r="S15" i="136"/>
  <c r="R15" i="136" s="1"/>
  <c r="P16" i="136" l="1"/>
  <c r="O16" i="136" s="1"/>
  <c r="Q17" i="136"/>
  <c r="P17" i="136" l="1"/>
  <c r="O17" i="136" s="1"/>
  <c r="Q18" i="136"/>
  <c r="S17" i="136"/>
  <c r="R17" i="136" s="1"/>
  <c r="S18" i="136" l="1"/>
  <c r="R18" i="136" s="1"/>
  <c r="Q19" i="136"/>
  <c r="P18" i="136"/>
  <c r="O18" i="136" s="1"/>
  <c r="Q20" i="136" l="1"/>
  <c r="P19" i="136"/>
  <c r="O19" i="136" s="1"/>
  <c r="S19" i="136"/>
  <c r="R19" i="136" s="1"/>
  <c r="Q21" i="136" l="1"/>
  <c r="P20" i="136"/>
  <c r="O20" i="136" s="1"/>
  <c r="S20" i="136"/>
  <c r="R20" i="136" s="1"/>
  <c r="P21" i="136" l="1"/>
  <c r="O21" i="136" s="1"/>
  <c r="Q22" i="136"/>
  <c r="S21" i="136"/>
  <c r="R21" i="136" s="1"/>
  <c r="Q23" i="136" l="1"/>
  <c r="P22" i="136"/>
  <c r="O22" i="136" s="1"/>
  <c r="S22" i="136"/>
  <c r="R22" i="136" s="1"/>
  <c r="Q24" i="136" l="1"/>
  <c r="P23" i="136"/>
  <c r="O23" i="136" s="1"/>
  <c r="S23" i="136"/>
  <c r="R23" i="136" s="1"/>
  <c r="Q25" i="136" l="1"/>
  <c r="P24" i="136"/>
  <c r="O24" i="136" s="1"/>
  <c r="S24" i="136"/>
  <c r="R24" i="136" s="1"/>
  <c r="P25" i="136" l="1"/>
  <c r="O25" i="136" s="1"/>
  <c r="Q26" i="136"/>
  <c r="S25" i="136"/>
  <c r="R25" i="136" s="1"/>
  <c r="Q27" i="136" l="1"/>
  <c r="P26" i="136"/>
  <c r="O26" i="136" s="1"/>
  <c r="S26" i="136"/>
  <c r="R26" i="136" s="1"/>
  <c r="Q28" i="136" l="1"/>
  <c r="P27" i="136"/>
  <c r="O27" i="136" s="1"/>
  <c r="S27" i="136"/>
  <c r="R27" i="136" s="1"/>
  <c r="Q29" i="136" l="1"/>
  <c r="Q30" i="136" s="1"/>
  <c r="P28" i="136"/>
  <c r="O28" i="136" s="1"/>
  <c r="S28" i="136"/>
  <c r="R28" i="136" s="1"/>
  <c r="P29" i="136" l="1"/>
  <c r="O29" i="136" s="1"/>
  <c r="S29" i="136"/>
  <c r="R29" i="136" s="1"/>
  <c r="Q31" i="136" l="1"/>
  <c r="P30" i="136"/>
  <c r="O30" i="136" s="1"/>
  <c r="S30" i="136"/>
  <c r="R30" i="136" s="1"/>
  <c r="Q32" i="136" l="1"/>
  <c r="P31" i="136"/>
  <c r="O31" i="136" s="1"/>
  <c r="S31" i="136"/>
  <c r="R31" i="136" s="1"/>
  <c r="P32" i="136" l="1"/>
  <c r="O32" i="136" s="1"/>
  <c r="Q33" i="136"/>
  <c r="Q34" i="136" s="1"/>
  <c r="Q35" i="136" s="1"/>
  <c r="Q36" i="136" s="1"/>
  <c r="Q37" i="136" s="1"/>
  <c r="S32" i="136"/>
  <c r="R32" i="136" s="1"/>
  <c r="P33" i="136" l="1"/>
  <c r="O33" i="136" s="1"/>
  <c r="S33" i="136"/>
  <c r="R33" i="136" s="1"/>
  <c r="P34" i="136" l="1"/>
  <c r="O34" i="136" s="1"/>
  <c r="S34" i="136"/>
  <c r="R34" i="136" s="1"/>
  <c r="P35" i="136" l="1"/>
  <c r="O35" i="136" s="1"/>
  <c r="S35" i="136"/>
  <c r="R35" i="136" s="1"/>
  <c r="P36" i="136" l="1"/>
  <c r="O36" i="136" s="1"/>
  <c r="S36" i="136"/>
  <c r="R36" i="136" s="1"/>
  <c r="P37" i="136" l="1"/>
  <c r="O37" i="136" s="1"/>
  <c r="Q38" i="136"/>
  <c r="S37" i="136"/>
  <c r="R37" i="136" s="1"/>
  <c r="Q39" i="136" l="1"/>
  <c r="P38" i="136"/>
  <c r="O38" i="136" s="1"/>
  <c r="S38" i="136"/>
  <c r="R38" i="136" s="1"/>
  <c r="Q40" i="136" l="1"/>
  <c r="Q41" i="136" s="1"/>
  <c r="Q42" i="136" s="1"/>
  <c r="S39" i="136"/>
  <c r="P39" i="136"/>
  <c r="O39" i="136" s="1"/>
  <c r="R39" i="136"/>
  <c r="P40" i="136" l="1"/>
  <c r="O40" i="136" s="1"/>
  <c r="S40" i="136"/>
  <c r="R40" i="136" s="1"/>
  <c r="P41" i="136" l="1"/>
  <c r="O41" i="136" s="1"/>
  <c r="S41" i="136"/>
  <c r="R41" i="136" s="1"/>
  <c r="Q43" i="136" l="1"/>
  <c r="P42" i="136"/>
  <c r="O42" i="136" s="1"/>
  <c r="S42" i="136"/>
  <c r="R42" i="136" s="1"/>
  <c r="P43" i="136" l="1"/>
  <c r="O43" i="136" s="1"/>
  <c r="Q44" i="136"/>
  <c r="S43" i="136"/>
  <c r="R43" i="136" s="1"/>
  <c r="P44" i="136" l="1"/>
  <c r="O44" i="136" s="1"/>
  <c r="Q45" i="136"/>
  <c r="S44" i="136"/>
  <c r="R44" i="136" s="1"/>
  <c r="P45" i="136" l="1"/>
  <c r="O45" i="136" s="1"/>
  <c r="Q46" i="136"/>
  <c r="S45" i="136"/>
  <c r="R45" i="136" s="1"/>
  <c r="P46" i="136" l="1"/>
  <c r="O46" i="136" s="1"/>
  <c r="Q47" i="136"/>
  <c r="S46" i="136"/>
  <c r="R46" i="136" s="1"/>
  <c r="P47" i="136" l="1"/>
  <c r="O47" i="136" s="1"/>
  <c r="Q48" i="136"/>
  <c r="Q49" i="136" s="1"/>
  <c r="Q50" i="136" s="1"/>
  <c r="S47" i="136"/>
  <c r="R47" i="136" s="1"/>
  <c r="Q51" i="136" l="1"/>
  <c r="Q52" i="136" s="1"/>
  <c r="Q53" i="136" s="1"/>
  <c r="Q54" i="136" s="1"/>
  <c r="S50" i="136"/>
  <c r="P48" i="136"/>
  <c r="O48" i="136" s="1"/>
  <c r="S48" i="136"/>
  <c r="R48" i="136" s="1"/>
  <c r="Q55" i="136" l="1"/>
  <c r="S54" i="136"/>
  <c r="P49" i="136"/>
  <c r="O49" i="136" s="1"/>
  <c r="S49" i="136"/>
  <c r="R49" i="136" s="1"/>
  <c r="P50" i="136" l="1"/>
  <c r="O50" i="136" s="1"/>
  <c r="R50" i="136"/>
  <c r="P51" i="136" l="1"/>
  <c r="O51" i="136" s="1"/>
  <c r="S51" i="136"/>
  <c r="R51" i="136" s="1"/>
  <c r="P52" i="136" l="1"/>
  <c r="O52" i="136" s="1"/>
  <c r="S52" i="136"/>
  <c r="R52" i="136" s="1"/>
  <c r="P53" i="136" l="1"/>
  <c r="O53" i="136" s="1"/>
  <c r="S53" i="136"/>
  <c r="R53" i="136" s="1"/>
  <c r="G52" i="137" l="1"/>
  <c r="P54" i="136"/>
  <c r="O54" i="136" s="1"/>
  <c r="R54" i="136"/>
  <c r="S7" i="137" l="1"/>
  <c r="R7" i="137" s="1"/>
  <c r="S8" i="137"/>
  <c r="R8" i="137" s="1"/>
  <c r="P7" i="137"/>
  <c r="O7" i="137" s="1"/>
  <c r="P55" i="136"/>
  <c r="O55" i="136" s="1"/>
  <c r="S55" i="136"/>
  <c r="R55" i="136" s="1"/>
  <c r="P8" i="137" l="1"/>
  <c r="O8" i="137" s="1"/>
  <c r="S9" i="137" l="1"/>
  <c r="R9" i="137" s="1"/>
  <c r="S10" i="137"/>
  <c r="R10" i="137" s="1"/>
  <c r="P9" i="137"/>
  <c r="O9" i="137" s="1"/>
  <c r="P10" i="137" l="1"/>
  <c r="O10" i="137" s="1"/>
  <c r="S11" i="137" l="1"/>
  <c r="R11" i="137" s="1"/>
  <c r="P11" i="137"/>
  <c r="O11" i="137" s="1"/>
  <c r="P12" i="137" l="1"/>
  <c r="O12" i="137" s="1"/>
  <c r="S12" i="137"/>
  <c r="R12" i="137" s="1"/>
  <c r="R13" i="137" l="1"/>
  <c r="Q14" i="137"/>
  <c r="P13" i="137"/>
  <c r="O13" i="137" s="1"/>
  <c r="S14" i="137" l="1"/>
  <c r="R14" i="137" s="1"/>
  <c r="P14" i="137"/>
  <c r="O14" i="137" s="1"/>
  <c r="Q15" i="137"/>
  <c r="S15" i="137" l="1"/>
  <c r="R15" i="137" s="1"/>
  <c r="P15" i="137"/>
  <c r="O15" i="137" s="1"/>
  <c r="Q16" i="137"/>
  <c r="S16" i="137" s="1"/>
  <c r="R16" i="137" s="1"/>
  <c r="Q17" i="137" l="1"/>
  <c r="P16" i="137"/>
  <c r="O16" i="137" s="1"/>
  <c r="P17" i="137" l="1"/>
  <c r="O17" i="137" s="1"/>
  <c r="Q18" i="137"/>
  <c r="S17" i="137"/>
  <c r="R17" i="137" s="1"/>
  <c r="P18" i="137" l="1"/>
  <c r="O18" i="137" s="1"/>
  <c r="Q19" i="137"/>
  <c r="S18" i="137"/>
  <c r="R18" i="137" s="1"/>
  <c r="Q20" i="137" l="1"/>
  <c r="Q21" i="137" s="1"/>
  <c r="Q22" i="137" s="1"/>
  <c r="P19" i="137"/>
  <c r="O19" i="137" s="1"/>
  <c r="S19" i="137"/>
  <c r="R19" i="137" s="1"/>
  <c r="P20" i="137" l="1"/>
  <c r="O20" i="137" s="1"/>
  <c r="S20" i="137"/>
  <c r="R20" i="137" s="1"/>
  <c r="P21" i="137" l="1"/>
  <c r="O21" i="137" s="1"/>
  <c r="S21" i="137"/>
  <c r="R21" i="137" s="1"/>
  <c r="P22" i="137" l="1"/>
  <c r="O22" i="137" s="1"/>
  <c r="Q23" i="137"/>
  <c r="S22" i="137"/>
  <c r="R22" i="137" s="1"/>
  <c r="P23" i="137" l="1"/>
  <c r="O23" i="137" s="1"/>
  <c r="Q24" i="137"/>
  <c r="S23" i="137"/>
  <c r="R23" i="137" s="1"/>
  <c r="P24" i="137" l="1"/>
  <c r="O24" i="137" s="1"/>
  <c r="Q25" i="137"/>
  <c r="S24" i="137"/>
  <c r="R24" i="137" s="1"/>
  <c r="Q26" i="137" l="1"/>
  <c r="S26" i="137" s="1"/>
  <c r="P25" i="137"/>
  <c r="O25" i="137" s="1"/>
  <c r="S25" i="137"/>
  <c r="R25" i="137" s="1"/>
  <c r="P26" i="137" l="1"/>
  <c r="O26" i="137" s="1"/>
  <c r="R26" i="137"/>
  <c r="P27" i="137" l="1"/>
  <c r="O27" i="137" s="1"/>
  <c r="S27" i="137"/>
  <c r="R27" i="137" s="1"/>
  <c r="P28" i="137" l="1"/>
  <c r="O28" i="137" s="1"/>
  <c r="S28" i="137"/>
  <c r="R28" i="137" s="1"/>
  <c r="P29" i="137" l="1"/>
  <c r="O29" i="137" s="1"/>
  <c r="Q30" i="137"/>
  <c r="S29" i="137"/>
  <c r="R29" i="137" s="1"/>
  <c r="P30" i="137" l="1"/>
  <c r="O30" i="137" s="1"/>
  <c r="Q31" i="137"/>
  <c r="S30" i="137"/>
  <c r="R30" i="137" s="1"/>
  <c r="Q32" i="137" l="1"/>
  <c r="P31" i="137"/>
  <c r="O31" i="137" s="1"/>
  <c r="S31" i="137"/>
  <c r="R31" i="137" s="1"/>
  <c r="P32" i="137" l="1"/>
  <c r="O32" i="137" s="1"/>
  <c r="Q33" i="137"/>
  <c r="S32" i="137"/>
  <c r="R32" i="137" s="1"/>
  <c r="Q34" i="137" l="1"/>
  <c r="P33" i="137"/>
  <c r="O33" i="137" s="1"/>
  <c r="S33" i="137"/>
  <c r="R33" i="137" s="1"/>
  <c r="P34" i="137" l="1"/>
  <c r="O34" i="137" s="1"/>
  <c r="S34" i="137"/>
  <c r="R34" i="137" s="1"/>
  <c r="P35" i="137" l="1"/>
  <c r="O35" i="137" s="1"/>
  <c r="S35" i="137"/>
  <c r="R35" i="137" s="1"/>
  <c r="P36" i="137" l="1"/>
  <c r="O36" i="137" s="1"/>
  <c r="S36" i="137"/>
  <c r="R36" i="137" s="1"/>
  <c r="P37" i="137" l="1"/>
  <c r="O37" i="137" s="1"/>
  <c r="Q38" i="137"/>
  <c r="S37" i="137"/>
  <c r="R37" i="137" s="1"/>
  <c r="Q39" i="137" l="1"/>
  <c r="P38" i="137"/>
  <c r="O38" i="137" s="1"/>
  <c r="S38" i="137"/>
  <c r="R38" i="137" s="1"/>
  <c r="P39" i="137" l="1"/>
  <c r="O39" i="137" s="1"/>
  <c r="Q40" i="137"/>
  <c r="S39" i="137"/>
  <c r="R39" i="137" s="1"/>
  <c r="P40" i="137" l="1"/>
  <c r="O40" i="137" s="1"/>
  <c r="S40" i="137"/>
  <c r="R40" i="137" s="1"/>
  <c r="Q42" i="137" l="1"/>
  <c r="P41" i="137"/>
  <c r="O41" i="137" s="1"/>
  <c r="S41" i="137"/>
  <c r="R41" i="137" s="1"/>
  <c r="P42" i="137" l="1"/>
  <c r="O42" i="137" s="1"/>
  <c r="S42" i="137"/>
  <c r="R42" i="137" s="1"/>
  <c r="P43" i="137" l="1"/>
  <c r="O43" i="137" s="1"/>
  <c r="Q44" i="137"/>
  <c r="S43" i="137"/>
  <c r="R43" i="137" s="1"/>
  <c r="P44" i="137" l="1"/>
  <c r="O44" i="137" s="1"/>
  <c r="Q45" i="137"/>
  <c r="S44" i="137"/>
  <c r="R44" i="137" s="1"/>
  <c r="P45" i="137" l="1"/>
  <c r="O45" i="137" s="1"/>
  <c r="Q46" i="137"/>
  <c r="S45" i="137"/>
  <c r="R45" i="137" s="1"/>
  <c r="P46" i="137" l="1"/>
  <c r="O46" i="137" s="1"/>
  <c r="Q47" i="137"/>
  <c r="S46" i="137"/>
  <c r="R46" i="137" s="1"/>
  <c r="Q48" i="137" l="1"/>
  <c r="G52" i="138" s="1"/>
  <c r="P47" i="137"/>
  <c r="O47" i="137" s="1"/>
  <c r="S47" i="137"/>
  <c r="R47" i="137" s="1"/>
  <c r="P48" i="137" l="1"/>
  <c r="O48" i="137" s="1"/>
  <c r="S48" i="137"/>
  <c r="R48" i="137" s="1"/>
</calcChain>
</file>

<file path=xl/sharedStrings.xml><?xml version="1.0" encoding="utf-8"?>
<sst xmlns="http://schemas.openxmlformats.org/spreadsheetml/2006/main" count="1758" uniqueCount="390">
  <si>
    <t>TOTALE</t>
  </si>
  <si>
    <t>Marginal</t>
  </si>
  <si>
    <t>Lending</t>
  </si>
  <si>
    <t>Deposit</t>
  </si>
  <si>
    <t>Marginal Lending</t>
  </si>
  <si>
    <t>Marzo 2001</t>
  </si>
  <si>
    <t>Aprile 2001</t>
  </si>
  <si>
    <t>Maggio 2001</t>
  </si>
  <si>
    <t>Giugno 2001</t>
  </si>
  <si>
    <t>Luglio 2001</t>
  </si>
  <si>
    <t>Agosto 2001</t>
  </si>
  <si>
    <t>Settembre 2001</t>
  </si>
  <si>
    <t>Ottobre 2001</t>
  </si>
  <si>
    <t>Novembre 2001</t>
  </si>
  <si>
    <t>Dicembre 2001</t>
  </si>
  <si>
    <t>Febbraio 2002</t>
  </si>
  <si>
    <t>Gennaio 2002</t>
  </si>
  <si>
    <t>Riserva Dovuta</t>
  </si>
  <si>
    <t>Marzo 2002</t>
  </si>
  <si>
    <t>Saldo medio del periodo</t>
  </si>
  <si>
    <t>Aprile 2002</t>
  </si>
  <si>
    <t>Maggio 2002</t>
  </si>
  <si>
    <t>Giugno 2002</t>
  </si>
  <si>
    <t>Luglio 2002</t>
  </si>
  <si>
    <t>Agosto 2002</t>
  </si>
  <si>
    <t>Settembre 2002</t>
  </si>
  <si>
    <t>Ottobre 2002</t>
  </si>
  <si>
    <t xml:space="preserve"> Novembre 2002</t>
  </si>
  <si>
    <t xml:space="preserve"> Dicembre 2002</t>
  </si>
  <si>
    <t xml:space="preserve"> Gennaio 2003</t>
  </si>
  <si>
    <t xml:space="preserve"> Febbraio 2003</t>
  </si>
  <si>
    <t xml:space="preserve"> Marzo 2003</t>
  </si>
  <si>
    <t xml:space="preserve"> Aprile 2003</t>
  </si>
  <si>
    <t xml:space="preserve"> Maggio 2003</t>
  </si>
  <si>
    <t xml:space="preserve"> Giugno 2003</t>
  </si>
  <si>
    <t xml:space="preserve"> Luglio 2003</t>
  </si>
  <si>
    <t xml:space="preserve"> Agosto 2003</t>
  </si>
  <si>
    <t xml:space="preserve"> Settembre 2003</t>
  </si>
  <si>
    <t xml:space="preserve"> Ottobre 2003</t>
  </si>
  <si>
    <t xml:space="preserve"> Novembre 2003</t>
  </si>
  <si>
    <t xml:space="preserve"> Dicembre 2003</t>
  </si>
  <si>
    <t xml:space="preserve"> Gennaio 2004</t>
  </si>
  <si>
    <t>Open Market</t>
  </si>
  <si>
    <t xml:space="preserve">Monetary policy operations </t>
  </si>
  <si>
    <t>Facility</t>
  </si>
  <si>
    <t>TOTAL</t>
  </si>
  <si>
    <t>Autonomous Factors</t>
  </si>
  <si>
    <t>Italy</t>
  </si>
  <si>
    <t>Europe</t>
  </si>
  <si>
    <t>Banknotes</t>
  </si>
  <si>
    <t>Forecast</t>
  </si>
  <si>
    <t>Reserve Requirements</t>
  </si>
  <si>
    <t>Operations</t>
  </si>
  <si>
    <t>Account Hol</t>
  </si>
  <si>
    <t>Average</t>
  </si>
  <si>
    <t>days</t>
  </si>
  <si>
    <t>Forecast ECB</t>
  </si>
  <si>
    <t>Our Forecast</t>
  </si>
  <si>
    <t>Previous month</t>
  </si>
  <si>
    <t>Account holding</t>
  </si>
  <si>
    <t>Deposit Facility</t>
  </si>
  <si>
    <t>%Requir</t>
  </si>
  <si>
    <t>Exceed Res.</t>
  </si>
  <si>
    <t xml:space="preserve"> Marzo 2004</t>
  </si>
  <si>
    <t xml:space="preserve"> Aprile 2004</t>
  </si>
  <si>
    <t xml:space="preserve"> Maggio 2004</t>
  </si>
  <si>
    <t xml:space="preserve"> Giugno 2004</t>
  </si>
  <si>
    <t xml:space="preserve"> Luglio 2004</t>
  </si>
  <si>
    <t xml:space="preserve"> Agosto 2004</t>
  </si>
  <si>
    <t xml:space="preserve"> Settembre 2004</t>
  </si>
  <si>
    <t xml:space="preserve"> Ottobre 2004</t>
  </si>
  <si>
    <t xml:space="preserve"> Novembre 2004</t>
  </si>
  <si>
    <t xml:space="preserve"> Dicembre 2004</t>
  </si>
  <si>
    <t xml:space="preserve"> Gennaio 2005</t>
  </si>
  <si>
    <t xml:space="preserve"> Febbraio 2005</t>
  </si>
  <si>
    <t xml:space="preserve"> Marzo 2005</t>
  </si>
  <si>
    <t xml:space="preserve"> Aprile 2005</t>
  </si>
  <si>
    <t xml:space="preserve"> Maggio 2005</t>
  </si>
  <si>
    <t xml:space="preserve"> Giugno 2005</t>
  </si>
  <si>
    <t xml:space="preserve"> Luglio 2005</t>
  </si>
  <si>
    <t xml:space="preserve"> Agosto 2005</t>
  </si>
  <si>
    <t xml:space="preserve"> Settembre 2005</t>
  </si>
  <si>
    <t xml:space="preserve"> Ottobre 2005</t>
  </si>
  <si>
    <t xml:space="preserve"> Novembre 2005</t>
  </si>
  <si>
    <t xml:space="preserve"> Dicembre 2005</t>
  </si>
  <si>
    <t xml:space="preserve"> Gennaio 2006</t>
  </si>
  <si>
    <t xml:space="preserve"> Febbraio 2006</t>
  </si>
  <si>
    <t xml:space="preserve"> Marzo 2006</t>
  </si>
  <si>
    <t xml:space="preserve"> Aprile 2006</t>
  </si>
  <si>
    <t xml:space="preserve"> Maggio 2006</t>
  </si>
  <si>
    <t xml:space="preserve"> Giugno 2006</t>
  </si>
  <si>
    <t xml:space="preserve"> Luglio 2006</t>
  </si>
  <si>
    <t xml:space="preserve"> Agosto 2006</t>
  </si>
  <si>
    <t xml:space="preserve"> Settembre 2006</t>
  </si>
  <si>
    <t xml:space="preserve"> Ottobre 2006</t>
  </si>
  <si>
    <t xml:space="preserve"> Novembre 2006</t>
  </si>
  <si>
    <t xml:space="preserve"> Dicembre 2006</t>
  </si>
  <si>
    <t xml:space="preserve"> Gennaio 2007</t>
  </si>
  <si>
    <t xml:space="preserve"> Febbraio 2007</t>
  </si>
  <si>
    <t xml:space="preserve"> Marzo 2007</t>
  </si>
  <si>
    <t xml:space="preserve"> Aprile 2007</t>
  </si>
  <si>
    <t xml:space="preserve"> Maggio 2007</t>
  </si>
  <si>
    <t xml:space="preserve"> Giugno 2007</t>
  </si>
  <si>
    <t xml:space="preserve"> Luglio 2007</t>
  </si>
  <si>
    <t xml:space="preserve"> Agosto 2007</t>
  </si>
  <si>
    <t xml:space="preserve"> Settembre 2007</t>
  </si>
  <si>
    <t xml:space="preserve"> Ottobre 2007</t>
  </si>
  <si>
    <t xml:space="preserve"> Novembre 2007</t>
  </si>
  <si>
    <t xml:space="preserve"> Dicembre 2007</t>
  </si>
  <si>
    <t xml:space="preserve"> Gennaio 2008</t>
  </si>
  <si>
    <t>Data</t>
  </si>
  <si>
    <t xml:space="preserve"> Febbraio 2008</t>
  </si>
  <si>
    <t xml:space="preserve"> Marzo 2008</t>
  </si>
  <si>
    <t xml:space="preserve"> Aprile 2008</t>
  </si>
  <si>
    <t xml:space="preserve"> Maggio 2008</t>
  </si>
  <si>
    <t xml:space="preserve"> Giugno 2008</t>
  </si>
  <si>
    <t xml:space="preserve"> Luglio 2008</t>
  </si>
  <si>
    <t>Agosto 2008</t>
  </si>
  <si>
    <t xml:space="preserve"> Settembre 2008</t>
  </si>
  <si>
    <t>Ottobre 2008</t>
  </si>
  <si>
    <t>Novembre 2008</t>
  </si>
  <si>
    <t>Dicembre 2008</t>
  </si>
  <si>
    <t>Gennaio 2009</t>
  </si>
  <si>
    <t>Febbraio 2009</t>
  </si>
  <si>
    <t>Deposit Facility (LHS)</t>
  </si>
  <si>
    <t>Marzo 2009</t>
  </si>
  <si>
    <t>Aprile 2009</t>
  </si>
  <si>
    <t>Maggio 2009</t>
  </si>
  <si>
    <t>Giugno 2009</t>
  </si>
  <si>
    <t>Luglio 2009</t>
  </si>
  <si>
    <t>Agosto 2009</t>
  </si>
  <si>
    <t>Settembre 2009</t>
  </si>
  <si>
    <t>Ottobre 2009</t>
  </si>
  <si>
    <t>Novembre 2009</t>
  </si>
  <si>
    <t>Dicembre 2009</t>
  </si>
  <si>
    <t>Gennaio 2010</t>
  </si>
  <si>
    <t>Febbraio 2010</t>
  </si>
  <si>
    <t>Marzo 2010</t>
  </si>
  <si>
    <t>Aprile 2010</t>
  </si>
  <si>
    <t>Maggio 2010</t>
  </si>
  <si>
    <t>Giugno 2010</t>
  </si>
  <si>
    <t>Luglio 2010</t>
  </si>
  <si>
    <t>Agosto 2010</t>
  </si>
  <si>
    <t>Settembre 2010</t>
  </si>
  <si>
    <t>Ottobre 2010</t>
  </si>
  <si>
    <t>Novembre 2010</t>
  </si>
  <si>
    <t>Dicembre 2010</t>
  </si>
  <si>
    <t>DATE</t>
  </si>
  <si>
    <t>Gennaio 2011</t>
  </si>
  <si>
    <t>Febbraio 2011</t>
  </si>
  <si>
    <t>Marginal Lending (LHS)</t>
  </si>
  <si>
    <t>Deposit Facility (RHS)</t>
  </si>
  <si>
    <t>Marzo 2011</t>
  </si>
  <si>
    <t>Aprile 2011</t>
  </si>
  <si>
    <t>Maggio 2011</t>
  </si>
  <si>
    <t>Luglio 2011</t>
  </si>
  <si>
    <t>Giugno 2011</t>
  </si>
  <si>
    <t>Agosto 2011</t>
  </si>
  <si>
    <t>Settembre 2011</t>
  </si>
  <si>
    <t>Ottobre 2011</t>
  </si>
  <si>
    <t>Novembre 2011</t>
  </si>
  <si>
    <t>Dicembre 2011</t>
  </si>
  <si>
    <t>Gennaio 2012</t>
  </si>
  <si>
    <t>Febbraio 2012</t>
  </si>
  <si>
    <t>Marzo 2012</t>
  </si>
  <si>
    <t>Aprile 2012</t>
  </si>
  <si>
    <t>Maggio 2012</t>
  </si>
  <si>
    <t>Giugno 2012</t>
  </si>
  <si>
    <t>Luglio 2012</t>
  </si>
  <si>
    <t>Agosto 2012</t>
  </si>
  <si>
    <t>Settembre 2012</t>
  </si>
  <si>
    <t>Ottobre 2012</t>
  </si>
  <si>
    <t>Novembre 2012</t>
  </si>
  <si>
    <t>Dicembre 2012</t>
  </si>
  <si>
    <t>Gennaio 2013</t>
  </si>
  <si>
    <t>Febbraio 2013</t>
  </si>
  <si>
    <t>Marzo 2013</t>
  </si>
  <si>
    <t>Aprile 2013</t>
  </si>
  <si>
    <t>Maggio 2013</t>
  </si>
  <si>
    <t>Giugno 2013</t>
  </si>
  <si>
    <t>Luglio 2013</t>
  </si>
  <si>
    <t>Agosto 2013</t>
  </si>
  <si>
    <t>Settembre 2013</t>
  </si>
  <si>
    <t>Ottobre 2013</t>
  </si>
  <si>
    <t>Novembre 2013</t>
  </si>
  <si>
    <t>Dicembre 2013</t>
  </si>
  <si>
    <t>Gennaio 2014</t>
  </si>
  <si>
    <t>Febbraio 2014</t>
  </si>
  <si>
    <t>Marzo 2014</t>
  </si>
  <si>
    <t>Aprile 2014</t>
  </si>
  <si>
    <t>Maggio 2014</t>
  </si>
  <si>
    <t>Giugno 2014</t>
  </si>
  <si>
    <t>Luglio 2014</t>
  </si>
  <si>
    <t>Agosto 2014</t>
  </si>
  <si>
    <t>Settembre 2014</t>
  </si>
  <si>
    <t>Ottobre 2014</t>
  </si>
  <si>
    <t>Novembre 2014</t>
  </si>
  <si>
    <t>Dicembre 2014</t>
  </si>
  <si>
    <t>Eccedenza media</t>
  </si>
  <si>
    <t>14/12/16 - 24/01/17</t>
  </si>
  <si>
    <t>25/01/17 - 14/03/17</t>
  </si>
  <si>
    <t>26/10/16 - 13/12/16</t>
  </si>
  <si>
    <t>14/09/16 -  25/10/16</t>
  </si>
  <si>
    <t>27/07/16 - 13/19/16</t>
  </si>
  <si>
    <t>08/06/16 - 26/07/16</t>
  </si>
  <si>
    <t>27/04/16 - 07/06/16</t>
  </si>
  <si>
    <t>16/06/16 - 26/04/16</t>
  </si>
  <si>
    <t>27/01/16-15/03/16</t>
  </si>
  <si>
    <t>09/12/15 - 26/01/16</t>
  </si>
  <si>
    <t>28/10/15- 08/12/15</t>
  </si>
  <si>
    <t>08/16/15 -27 /10/15</t>
  </si>
  <si>
    <t>22/07/15 -07/09/15</t>
  </si>
  <si>
    <t>10/06/15 -21/07/15</t>
  </si>
  <si>
    <t>22/04/15 -09/06/15</t>
  </si>
  <si>
    <t>11/03/15 -21/04/15</t>
  </si>
  <si>
    <t>28/01/15 - 10 /03/15</t>
  </si>
  <si>
    <t>15/03/17 - 02/05/17</t>
  </si>
  <si>
    <t>03/05/17 - 13/06/17</t>
  </si>
  <si>
    <t>14/06/17 - 25/07/17</t>
  </si>
  <si>
    <t>13/09/17 - 31/10/17</t>
  </si>
  <si>
    <t>26/07/17 - 12/09/17</t>
  </si>
  <si>
    <t>01/11/17 - 19/12/17</t>
  </si>
  <si>
    <t>31/01/18 - 13/03/18</t>
  </si>
  <si>
    <t>20/12/17 - 30/01/18</t>
  </si>
  <si>
    <t>14/03/18 - 02/05/18</t>
  </si>
  <si>
    <t>03/05/18 - 19/06/18</t>
  </si>
  <si>
    <t>20/06/18 - 31/07/19</t>
  </si>
  <si>
    <t>01/01/18 - 18/09/18</t>
  </si>
  <si>
    <t>ex 1381.00</t>
  </si>
  <si>
    <t>ex 1368.1</t>
  </si>
  <si>
    <t>ex 1356.3</t>
  </si>
  <si>
    <t>ex 1323.2</t>
  </si>
  <si>
    <t>ex 1323.1</t>
  </si>
  <si>
    <t>ex 1350.5</t>
  </si>
  <si>
    <t>ex 1317.00</t>
  </si>
  <si>
    <t>19/09/18 - 30/10/18</t>
  </si>
  <si>
    <t>ex 1307.3</t>
  </si>
  <si>
    <t>ex 1337.6</t>
  </si>
  <si>
    <t>Ex 1386.3</t>
  </si>
  <si>
    <t>ex 1365.5</t>
  </si>
  <si>
    <t>ex 1333.1</t>
  </si>
  <si>
    <t>ex 1356.1</t>
  </si>
  <si>
    <t>F</t>
  </si>
  <si>
    <t>31/10/18 - 18/12/18</t>
  </si>
  <si>
    <t>ex 1379.7</t>
  </si>
  <si>
    <t>ex 1449.1</t>
  </si>
  <si>
    <t>ex 1394.6</t>
  </si>
  <si>
    <t>ex 1388.8</t>
  </si>
  <si>
    <t>Ex 1408.4</t>
  </si>
  <si>
    <t>ex 1360.5</t>
  </si>
  <si>
    <t>19/12/18 - 29/01/18</t>
  </si>
  <si>
    <t>Riserve  medie in eccesso Italia</t>
  </si>
  <si>
    <t>ex 1355.6</t>
  </si>
  <si>
    <t>ex 1369.3</t>
  </si>
  <si>
    <t>ex 1427.8</t>
  </si>
  <si>
    <t>ex 1369.2</t>
  </si>
  <si>
    <t>ex 1348</t>
  </si>
  <si>
    <t>ex 1352.7</t>
  </si>
  <si>
    <t>30/01/19 - 12/03/19</t>
  </si>
  <si>
    <t>ex 1236.4</t>
  </si>
  <si>
    <t>ex 1381.4</t>
  </si>
  <si>
    <t>ex 1341.7</t>
  </si>
  <si>
    <t>ex 1359.2</t>
  </si>
  <si>
    <t>13/03/19 - 16/04/19</t>
  </si>
  <si>
    <t>ex 1366.2</t>
  </si>
  <si>
    <t>ex 1322.4</t>
  </si>
  <si>
    <t>ex 1312.4</t>
  </si>
  <si>
    <t>ex 1354.9</t>
  </si>
  <si>
    <t>ex 1344.1</t>
  </si>
  <si>
    <t>ex 1314.6</t>
  </si>
  <si>
    <t>17/04/19 - 11/06/19</t>
  </si>
  <si>
    <t>ex 1331.4</t>
  </si>
  <si>
    <t>ex 1408.6</t>
  </si>
  <si>
    <t>ex 1432</t>
  </si>
  <si>
    <t>ex 1404.2</t>
  </si>
  <si>
    <t>ex 1042.1</t>
  </si>
  <si>
    <t>ex 1441</t>
  </si>
  <si>
    <t>ex 1481.8</t>
  </si>
  <si>
    <t>12/06/19 - 30/07/19</t>
  </si>
  <si>
    <t>ex 1395.6</t>
  </si>
  <si>
    <t>ex 1392.3</t>
  </si>
  <si>
    <t>ex 1407.8</t>
  </si>
  <si>
    <t>ex 1461.9</t>
  </si>
  <si>
    <t>ex 1441.1</t>
  </si>
  <si>
    <t>ex 1384.3</t>
  </si>
  <si>
    <t>ex 1394.5</t>
  </si>
  <si>
    <t>ex 1430.5</t>
  </si>
  <si>
    <t xml:space="preserve">31/07/19 - 17/09/19 </t>
  </si>
  <si>
    <t xml:space="preserve"> ex 1442.1</t>
  </si>
  <si>
    <t>ex 1401.7</t>
  </si>
  <si>
    <t>ex 1408.4</t>
  </si>
  <si>
    <t>ex 1433.4</t>
  </si>
  <si>
    <t>ex 1425.8</t>
  </si>
  <si>
    <t>ex 1372.4</t>
  </si>
  <si>
    <t>18/09/19 - 29/10/19</t>
  </si>
  <si>
    <t>ex 1341.9</t>
  </si>
  <si>
    <t>ex 1348.5</t>
  </si>
  <si>
    <t>ex 1390</t>
  </si>
  <si>
    <t>ex 1366</t>
  </si>
  <si>
    <t>ex 1331.7</t>
  </si>
  <si>
    <t>ex 1331.8</t>
  </si>
  <si>
    <t>Dal</t>
  </si>
  <si>
    <t>al</t>
  </si>
  <si>
    <t>from</t>
  </si>
  <si>
    <t>to</t>
  </si>
  <si>
    <t>ex 1383.6</t>
  </si>
  <si>
    <t>30/10/19 - 17/12/19</t>
  </si>
  <si>
    <t>ex 1378</t>
  </si>
  <si>
    <t>ex 1363.4</t>
  </si>
  <si>
    <t>ex 1361.6</t>
  </si>
  <si>
    <t>ex 1371.2</t>
  </si>
  <si>
    <t>ex 1376.4</t>
  </si>
  <si>
    <t>ex 1357.1</t>
  </si>
  <si>
    <t>18/12/19 - 28/01/20</t>
  </si>
  <si>
    <t>ex 1316.8</t>
  </si>
  <si>
    <t>ex 1368.2</t>
  </si>
  <si>
    <t>ex 1406.5</t>
  </si>
  <si>
    <t>ex 1379.5</t>
  </si>
  <si>
    <t>ex 1402.8</t>
  </si>
  <si>
    <t>ex 1480.2</t>
  </si>
  <si>
    <t>29/01/20 - 17/03/20</t>
  </si>
  <si>
    <t>ex 1545.7</t>
  </si>
  <si>
    <t>ex 1498.8</t>
  </si>
  <si>
    <t>ex 1506.2</t>
  </si>
  <si>
    <t>ex 1524.4</t>
  </si>
  <si>
    <t>ex 1575.7</t>
  </si>
  <si>
    <t>ex 1568.4</t>
  </si>
  <si>
    <t>ex 1560.4</t>
  </si>
  <si>
    <t>18/03/20 - 05/05/20</t>
  </si>
  <si>
    <t>ex 1620.6</t>
  </si>
  <si>
    <t>ex 1669.1</t>
  </si>
  <si>
    <t>ex 1707.4</t>
  </si>
  <si>
    <t>ex 1713.2</t>
  </si>
  <si>
    <t>ex 1768.7</t>
  </si>
  <si>
    <t>06/05/20 - 09/06/20</t>
  </si>
  <si>
    <t>ex 1810.0</t>
  </si>
  <si>
    <t>ex 1866.1</t>
  </si>
  <si>
    <t>ex 1817</t>
  </si>
  <si>
    <t>ex 1825.2</t>
  </si>
  <si>
    <t>ex 1863.7</t>
  </si>
  <si>
    <t>ex 1919.3</t>
  </si>
  <si>
    <t>10/06/20 - 21/07/20</t>
  </si>
  <si>
    <t>ex 1843.8</t>
  </si>
  <si>
    <t>ex 1793.4</t>
  </si>
  <si>
    <t>ex 1843.2</t>
  </si>
  <si>
    <t>ex 1870.2</t>
  </si>
  <si>
    <t>ex 1868.8</t>
  </si>
  <si>
    <t>ex 1820.9</t>
  </si>
  <si>
    <t>ex 1824.5</t>
  </si>
  <si>
    <t>ex 1901.2</t>
  </si>
  <si>
    <t>22/07/20 - 15/09/20</t>
  </si>
  <si>
    <t>ex 1929.8</t>
  </si>
  <si>
    <t>ex  1891.7</t>
  </si>
  <si>
    <t>ex 1860.5</t>
  </si>
  <si>
    <t>ex 1877</t>
  </si>
  <si>
    <t>ex 1928.1</t>
  </si>
  <si>
    <t>ex 1930.2</t>
  </si>
  <si>
    <t>ex 1786.3</t>
  </si>
  <si>
    <t>16/09/20 - 03/11/20</t>
  </si>
  <si>
    <t>ex 1808.1</t>
  </si>
  <si>
    <t>ex 1872.4</t>
  </si>
  <si>
    <t>ex 1858.2</t>
  </si>
  <si>
    <t>ex 1800.1</t>
  </si>
  <si>
    <t>ex 1805.2</t>
  </si>
  <si>
    <t>04/11/20 - 15/12/20</t>
  </si>
  <si>
    <t>16/12/20 - 26/01/21</t>
  </si>
  <si>
    <t>27/01/21 - 16/03/21</t>
  </si>
  <si>
    <t>17/03/21 - 27/04/21</t>
  </si>
  <si>
    <t>28/04/21 - 15/06/21</t>
  </si>
  <si>
    <t>16/06/21 - 27/07/21</t>
  </si>
  <si>
    <t>28/07/21 - 14/09/21</t>
  </si>
  <si>
    <t>15/09/21 - 02/11/21</t>
  </si>
  <si>
    <t>03/11/21 - 21/12/21</t>
  </si>
  <si>
    <t>22/12/21 - 08/02/22</t>
  </si>
  <si>
    <t>09/02/22 - 15/03/22</t>
  </si>
  <si>
    <t>16/03/22 - 19/04/22</t>
  </si>
  <si>
    <t>20/04/22 - 14/06/22</t>
  </si>
  <si>
    <t>15/06/22 - 26/07/22</t>
  </si>
  <si>
    <t>27/07/22 -13/09/22</t>
  </si>
  <si>
    <t>14/09/22 -01/11/22</t>
  </si>
  <si>
    <t>02/11/22 -20/12/22</t>
  </si>
  <si>
    <t>21/12/22 -07/02/23</t>
  </si>
  <si>
    <t>08/02/23 - 21/03/23</t>
  </si>
  <si>
    <t>22/03/23 - 09/05/23</t>
  </si>
  <si>
    <t>10/05/23 - 20/06/23</t>
  </si>
  <si>
    <t>21/06/23-01/08/23</t>
  </si>
  <si>
    <t>02/08/23-19/09/23</t>
  </si>
  <si>
    <t>20/09/23 - 31/10/23</t>
  </si>
  <si>
    <t>01/11/23 - 19/12/23</t>
  </si>
  <si>
    <t>20/12/23 -30/01/24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</si>
</sst>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dd"/>
    <numFmt numFmtId="166" formatCode="#,##0_ ;[Red]\-#,##0\ 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-[$€]\ * #,##0.00_-;\-[$€]\ * #,##0.00_-;_-[$€]\ * &quot;-&quot;??_-;_-@_-"/>
    <numFmt numFmtId="171" formatCode="[$-F800]dddd\,\ mmmm\ dd\,\ yyyy"/>
    <numFmt numFmtId="172" formatCode="#,##0.00_ ;[Red]\-#,##0.00\ "/>
  </numFmts>
  <fonts count="24">
    <font>
      <sz val="10"/>
      <name val="Arial"/>
    </font>
    <font>
      <sz val="10"/>
      <name val="Arial"/>
      <family val="2"/>
    </font>
    <font>
      <b/>
      <sz val="9"/>
      <name val="Geneva"/>
      <family val="2"/>
    </font>
    <font>
      <b/>
      <sz val="9"/>
      <color indexed="8"/>
      <name val="Geneva"/>
      <family val="2"/>
    </font>
    <font>
      <sz val="9"/>
      <name val="Geneva"/>
      <family val="2"/>
    </font>
    <font>
      <b/>
      <sz val="9"/>
      <color indexed="10"/>
      <name val="Geneva"/>
      <family val="2"/>
    </font>
    <font>
      <sz val="9"/>
      <color indexed="10"/>
      <name val="Geneva"/>
      <family val="2"/>
    </font>
    <font>
      <sz val="9"/>
      <color indexed="8"/>
      <name val="Geneva"/>
      <family val="2"/>
    </font>
    <font>
      <b/>
      <sz val="12"/>
      <name val="Geneva"/>
      <family val="2"/>
    </font>
    <font>
      <b/>
      <sz val="10"/>
      <name val="Arial"/>
      <family val="2"/>
    </font>
    <font>
      <b/>
      <u/>
      <sz val="9"/>
      <name val="Geneva"/>
      <family val="2"/>
    </font>
    <font>
      <b/>
      <sz val="8"/>
      <name val="Geneva"/>
      <family val="2"/>
    </font>
    <font>
      <b/>
      <sz val="8"/>
      <color indexed="8"/>
      <name val="Geneva"/>
      <family val="2"/>
    </font>
    <font>
      <sz val="8"/>
      <color indexed="8"/>
      <name val="Geneva"/>
      <family val="2"/>
    </font>
    <font>
      <sz val="8"/>
      <name val="Geneva"/>
      <family val="2"/>
    </font>
    <font>
      <b/>
      <sz val="8"/>
      <color indexed="10"/>
      <name val="Geneva"/>
      <family val="2"/>
    </font>
    <font>
      <b/>
      <sz val="10"/>
      <name val="Geneva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rgb="FFFF0000"/>
      <name val="Geneva"/>
      <family val="2"/>
    </font>
    <font>
      <b/>
      <sz val="9"/>
      <color theme="0"/>
      <name val="Geneva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7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3" fontId="2" fillId="2" borderId="0" xfId="0" applyNumberFormat="1" applyFont="1" applyFill="1"/>
    <xf numFmtId="0" fontId="4" fillId="2" borderId="0" xfId="0" applyFont="1" applyFill="1" applyBorder="1"/>
    <xf numFmtId="3" fontId="4" fillId="2" borderId="1" xfId="0" applyNumberFormat="1" applyFont="1" applyFill="1" applyBorder="1"/>
    <xf numFmtId="3" fontId="4" fillId="2" borderId="0" xfId="0" applyNumberFormat="1" applyFont="1" applyFill="1" applyBorder="1"/>
    <xf numFmtId="3" fontId="4" fillId="3" borderId="2" xfId="0" applyNumberFormat="1" applyFont="1" applyFill="1" applyBorder="1"/>
    <xf numFmtId="166" fontId="4" fillId="2" borderId="3" xfId="0" applyNumberFormat="1" applyFont="1" applyFill="1" applyBorder="1"/>
    <xf numFmtId="0" fontId="4" fillId="2" borderId="4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41" fontId="5" fillId="2" borderId="0" xfId="0" applyNumberFormat="1" applyFont="1" applyFill="1" applyBorder="1"/>
    <xf numFmtId="16" fontId="7" fillId="2" borderId="0" xfId="0" applyNumberFormat="1" applyFont="1" applyFill="1" applyBorder="1" applyAlignment="1">
      <alignment horizontal="center"/>
    </xf>
    <xf numFmtId="16" fontId="6" fillId="2" borderId="5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3" fontId="4" fillId="2" borderId="6" xfId="0" applyNumberFormat="1" applyFont="1" applyFill="1" applyBorder="1"/>
    <xf numFmtId="3" fontId="4" fillId="3" borderId="6" xfId="0" applyNumberFormat="1" applyFont="1" applyFill="1" applyBorder="1"/>
    <xf numFmtId="16" fontId="2" fillId="2" borderId="7" xfId="0" applyNumberFormat="1" applyFont="1" applyFill="1" applyBorder="1"/>
    <xf numFmtId="16" fontId="4" fillId="2" borderId="8" xfId="0" applyNumberFormat="1" applyFont="1" applyFill="1" applyBorder="1" applyAlignment="1">
      <alignment horizontal="center"/>
    </xf>
    <xf numFmtId="0" fontId="7" fillId="2" borderId="8" xfId="0" applyFont="1" applyFill="1" applyBorder="1"/>
    <xf numFmtId="3" fontId="7" fillId="2" borderId="9" xfId="0" applyNumberFormat="1" applyFont="1" applyFill="1" applyBorder="1"/>
    <xf numFmtId="166" fontId="7" fillId="3" borderId="10" xfId="0" applyNumberFormat="1" applyFont="1" applyFill="1" applyBorder="1" applyAlignment="1">
      <alignment horizontal="right"/>
    </xf>
    <xf numFmtId="166" fontId="7" fillId="3" borderId="11" xfId="0" applyNumberFormat="1" applyFont="1" applyFill="1" applyBorder="1" applyAlignment="1">
      <alignment horizontal="right"/>
    </xf>
    <xf numFmtId="166" fontId="7" fillId="3" borderId="12" xfId="0" applyNumberFormat="1" applyFont="1" applyFill="1" applyBorder="1" applyAlignment="1">
      <alignment horizontal="right"/>
    </xf>
    <xf numFmtId="166" fontId="3" fillId="3" borderId="13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3" fontId="8" fillId="2" borderId="0" xfId="0" applyNumberFormat="1" applyFont="1" applyFill="1" applyBorder="1"/>
    <xf numFmtId="4" fontId="3" fillId="2" borderId="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8" xfId="0" applyFont="1" applyFill="1" applyBorder="1"/>
    <xf numFmtId="16" fontId="0" fillId="0" borderId="0" xfId="0" applyNumberFormat="1"/>
    <xf numFmtId="16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166" fontId="12" fillId="3" borderId="19" xfId="0" applyNumberFormat="1" applyFont="1" applyFill="1" applyBorder="1" applyAlignment="1">
      <alignment horizontal="center"/>
    </xf>
    <xf numFmtId="166" fontId="12" fillId="3" borderId="20" xfId="0" applyNumberFormat="1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>
      <alignment horizontal="left"/>
    </xf>
    <xf numFmtId="166" fontId="11" fillId="3" borderId="17" xfId="0" applyNumberFormat="1" applyFont="1" applyFill="1" applyBorder="1" applyAlignment="1">
      <alignment horizontal="center"/>
    </xf>
    <xf numFmtId="0" fontId="11" fillId="2" borderId="21" xfId="0" applyFont="1" applyFill="1" applyBorder="1"/>
    <xf numFmtId="0" fontId="11" fillId="2" borderId="20" xfId="0" applyFont="1" applyFill="1" applyBorder="1"/>
    <xf numFmtId="16" fontId="11" fillId="2" borderId="7" xfId="0" applyNumberFormat="1" applyFont="1" applyFill="1" applyBorder="1"/>
    <xf numFmtId="165" fontId="11" fillId="2" borderId="20" xfId="0" applyNumberFormat="1" applyFont="1" applyFill="1" applyBorder="1"/>
    <xf numFmtId="3" fontId="11" fillId="2" borderId="4" xfId="0" applyNumberFormat="1" applyFont="1" applyFill="1" applyBorder="1"/>
    <xf numFmtId="16" fontId="11" fillId="2" borderId="22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66" fontId="12" fillId="3" borderId="23" xfId="0" applyNumberFormat="1" applyFont="1" applyFill="1" applyBorder="1" applyAlignment="1">
      <alignment horizontal="center"/>
    </xf>
    <xf numFmtId="166" fontId="13" fillId="3" borderId="18" xfId="0" applyNumberFormat="1" applyFont="1" applyFill="1" applyBorder="1" applyAlignment="1">
      <alignment horizontal="center"/>
    </xf>
    <xf numFmtId="166" fontId="13" fillId="3" borderId="24" xfId="0" applyNumberFormat="1" applyFont="1" applyFill="1" applyBorder="1" applyAlignment="1">
      <alignment horizontal="center"/>
    </xf>
    <xf numFmtId="166" fontId="12" fillId="3" borderId="25" xfId="0" applyNumberFormat="1" applyFont="1" applyFill="1" applyBorder="1" applyAlignment="1">
      <alignment horizontal="center"/>
    </xf>
    <xf numFmtId="166" fontId="12" fillId="4" borderId="26" xfId="0" applyNumberFormat="1" applyFont="1" applyFill="1" applyBorder="1" applyAlignment="1">
      <alignment horizontal="center"/>
    </xf>
    <xf numFmtId="3" fontId="11" fillId="2" borderId="27" xfId="0" applyNumberFormat="1" applyFont="1" applyFill="1" applyBorder="1"/>
    <xf numFmtId="3" fontId="11" fillId="2" borderId="28" xfId="0" applyNumberFormat="1" applyFont="1" applyFill="1" applyBorder="1"/>
    <xf numFmtId="3" fontId="15" fillId="2" borderId="29" xfId="0" applyNumberFormat="1" applyFont="1" applyFill="1" applyBorder="1"/>
    <xf numFmtId="3" fontId="11" fillId="2" borderId="29" xfId="0" applyNumberFormat="1" applyFont="1" applyFill="1" applyBorder="1" applyAlignment="1">
      <alignment horizontal="center"/>
    </xf>
    <xf numFmtId="3" fontId="11" fillId="2" borderId="30" xfId="0" applyNumberFormat="1" applyFont="1" applyFill="1" applyBorder="1"/>
    <xf numFmtId="0" fontId="11" fillId="2" borderId="31" xfId="0" applyFont="1" applyFill="1" applyBorder="1"/>
    <xf numFmtId="16" fontId="11" fillId="2" borderId="23" xfId="0" applyNumberFormat="1" applyFont="1" applyFill="1" applyBorder="1"/>
    <xf numFmtId="3" fontId="11" fillId="2" borderId="18" xfId="0" applyNumberFormat="1" applyFont="1" applyFill="1" applyBorder="1"/>
    <xf numFmtId="3" fontId="15" fillId="2" borderId="23" xfId="0" applyNumberFormat="1" applyFont="1" applyFill="1" applyBorder="1" applyAlignment="1">
      <alignment horizontal="center"/>
    </xf>
    <xf numFmtId="0" fontId="11" fillId="2" borderId="26" xfId="0" applyFont="1" applyFill="1" applyBorder="1"/>
    <xf numFmtId="166" fontId="7" fillId="2" borderId="12" xfId="0" applyNumberFormat="1" applyFont="1" applyFill="1" applyBorder="1" applyAlignment="1">
      <alignment horizontal="right"/>
    </xf>
    <xf numFmtId="0" fontId="16" fillId="2" borderId="7" xfId="0" applyFont="1" applyFill="1" applyBorder="1"/>
    <xf numFmtId="0" fontId="16" fillId="2" borderId="4" xfId="0" applyFont="1" applyFill="1" applyBorder="1"/>
    <xf numFmtId="3" fontId="11" fillId="2" borderId="32" xfId="0" applyNumberFormat="1" applyFont="1" applyFill="1" applyBorder="1"/>
    <xf numFmtId="166" fontId="4" fillId="2" borderId="33" xfId="0" applyNumberFormat="1" applyFont="1" applyFill="1" applyBorder="1"/>
    <xf numFmtId="166" fontId="4" fillId="2" borderId="34" xfId="0" applyNumberFormat="1" applyFont="1" applyFill="1" applyBorder="1"/>
    <xf numFmtId="0" fontId="4" fillId="0" borderId="0" xfId="0" applyFont="1" applyFill="1"/>
    <xf numFmtId="3" fontId="4" fillId="0" borderId="2" xfId="0" applyNumberFormat="1" applyFont="1" applyFill="1" applyBorder="1"/>
    <xf numFmtId="4" fontId="3" fillId="0" borderId="5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6" xfId="0" applyNumberFormat="1" applyFont="1" applyFill="1" applyBorder="1"/>
    <xf numFmtId="3" fontId="8" fillId="2" borderId="19" xfId="0" applyNumberFormat="1" applyFont="1" applyFill="1" applyBorder="1" applyAlignment="1"/>
    <xf numFmtId="166" fontId="4" fillId="2" borderId="35" xfId="0" applyNumberFormat="1" applyFont="1" applyFill="1" applyBorder="1"/>
    <xf numFmtId="166" fontId="7" fillId="3" borderId="36" xfId="0" applyNumberFormat="1" applyFont="1" applyFill="1" applyBorder="1" applyAlignment="1">
      <alignment horizontal="center"/>
    </xf>
    <xf numFmtId="166" fontId="7" fillId="3" borderId="37" xfId="0" applyNumberFormat="1" applyFont="1" applyFill="1" applyBorder="1" applyAlignment="1">
      <alignment horizontal="center"/>
    </xf>
    <xf numFmtId="166" fontId="7" fillId="3" borderId="38" xfId="0" applyNumberFormat="1" applyFont="1" applyFill="1" applyBorder="1" applyAlignment="1">
      <alignment horizontal="center"/>
    </xf>
    <xf numFmtId="166" fontId="7" fillId="3" borderId="39" xfId="0" applyNumberFormat="1" applyFont="1" applyFill="1" applyBorder="1" applyAlignment="1">
      <alignment horizontal="center"/>
    </xf>
    <xf numFmtId="166" fontId="7" fillId="3" borderId="40" xfId="0" applyNumberFormat="1" applyFont="1" applyFill="1" applyBorder="1" applyAlignment="1">
      <alignment horizontal="center"/>
    </xf>
    <xf numFmtId="166" fontId="7" fillId="3" borderId="41" xfId="0" applyNumberFormat="1" applyFont="1" applyFill="1" applyBorder="1" applyAlignment="1">
      <alignment horizontal="center"/>
    </xf>
    <xf numFmtId="166" fontId="7" fillId="3" borderId="42" xfId="0" applyNumberFormat="1" applyFont="1" applyFill="1" applyBorder="1" applyAlignment="1">
      <alignment horizontal="center"/>
    </xf>
    <xf numFmtId="166" fontId="7" fillId="3" borderId="43" xfId="0" applyNumberFormat="1" applyFont="1" applyFill="1" applyBorder="1" applyAlignment="1">
      <alignment horizontal="center"/>
    </xf>
    <xf numFmtId="166" fontId="7" fillId="3" borderId="44" xfId="0" applyNumberFormat="1" applyFont="1" applyFill="1" applyBorder="1" applyAlignment="1">
      <alignment horizontal="center"/>
    </xf>
    <xf numFmtId="166" fontId="7" fillId="3" borderId="45" xfId="0" applyNumberFormat="1" applyFont="1" applyFill="1" applyBorder="1" applyAlignment="1">
      <alignment horizontal="center"/>
    </xf>
    <xf numFmtId="166" fontId="7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47" xfId="0" applyNumberFormat="1" applyFont="1" applyFill="1" applyBorder="1" applyAlignment="1">
      <alignment horizontal="center"/>
    </xf>
    <xf numFmtId="0" fontId="11" fillId="2" borderId="29" xfId="0" applyFont="1" applyFill="1" applyBorder="1"/>
    <xf numFmtId="3" fontId="2" fillId="2" borderId="48" xfId="0" applyNumberFormat="1" applyFont="1" applyFill="1" applyBorder="1" applyAlignment="1"/>
    <xf numFmtId="166" fontId="3" fillId="3" borderId="49" xfId="0" applyNumberFormat="1" applyFont="1" applyFill="1" applyBorder="1" applyAlignment="1"/>
    <xf numFmtId="168" fontId="4" fillId="2" borderId="0" xfId="0" applyNumberFormat="1" applyFont="1" applyFill="1"/>
    <xf numFmtId="166" fontId="7" fillId="3" borderId="50" xfId="0" applyNumberFormat="1" applyFont="1" applyFill="1" applyBorder="1" applyAlignment="1">
      <alignment horizontal="center"/>
    </xf>
    <xf numFmtId="49" fontId="9" fillId="0" borderId="0" xfId="0" applyNumberFormat="1" applyFont="1"/>
    <xf numFmtId="169" fontId="7" fillId="2" borderId="0" xfId="0" applyNumberFormat="1" applyFont="1" applyFill="1" applyBorder="1" applyAlignment="1">
      <alignment horizontal="center"/>
    </xf>
    <xf numFmtId="14" fontId="0" fillId="0" borderId="0" xfId="0" applyNumberFormat="1"/>
    <xf numFmtId="14" fontId="2" fillId="2" borderId="51" xfId="0" applyNumberFormat="1" applyFont="1" applyFill="1" applyBorder="1"/>
    <xf numFmtId="14" fontId="2" fillId="2" borderId="52" xfId="0" applyNumberFormat="1" applyFont="1" applyFill="1" applyBorder="1"/>
    <xf numFmtId="14" fontId="2" fillId="2" borderId="53" xfId="0" applyNumberFormat="1" applyFont="1" applyFill="1" applyBorder="1"/>
    <xf numFmtId="14" fontId="2" fillId="2" borderId="54" xfId="0" applyNumberFormat="1" applyFont="1" applyFill="1" applyBorder="1"/>
    <xf numFmtId="14" fontId="2" fillId="2" borderId="55" xfId="0" applyNumberFormat="1" applyFont="1" applyFill="1" applyBorder="1"/>
    <xf numFmtId="14" fontId="2" fillId="2" borderId="56" xfId="0" applyNumberFormat="1" applyFont="1" applyFill="1" applyBorder="1"/>
    <xf numFmtId="0" fontId="0" fillId="0" borderId="0" xfId="0" applyBorder="1"/>
    <xf numFmtId="166" fontId="7" fillId="3" borderId="0" xfId="0" applyNumberFormat="1" applyFont="1" applyFill="1" applyBorder="1" applyAlignment="1">
      <alignment horizontal="right"/>
    </xf>
    <xf numFmtId="168" fontId="18" fillId="2" borderId="57" xfId="6" applyNumberFormat="1" applyFont="1" applyFill="1" applyBorder="1" applyAlignment="1">
      <alignment horizontal="center"/>
    </xf>
    <xf numFmtId="166" fontId="7" fillId="3" borderId="58" xfId="0" applyNumberFormat="1" applyFont="1" applyFill="1" applyBorder="1" applyAlignment="1">
      <alignment horizontal="center"/>
    </xf>
    <xf numFmtId="16" fontId="11" fillId="2" borderId="19" xfId="0" applyNumberFormat="1" applyFont="1" applyFill="1" applyBorder="1"/>
    <xf numFmtId="16" fontId="11" fillId="2" borderId="19" xfId="0" applyNumberFormat="1" applyFont="1" applyFill="1" applyBorder="1" applyAlignment="1">
      <alignment horizontal="center"/>
    </xf>
    <xf numFmtId="166" fontId="14" fillId="3" borderId="20" xfId="0" applyNumberFormat="1" applyFont="1" applyFill="1" applyBorder="1"/>
    <xf numFmtId="166" fontId="13" fillId="3" borderId="48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0" fontId="14" fillId="2" borderId="21" xfId="0" applyFont="1" applyFill="1" applyBorder="1"/>
    <xf numFmtId="0" fontId="11" fillId="2" borderId="4" xfId="0" applyFont="1" applyFill="1" applyBorder="1"/>
    <xf numFmtId="0" fontId="4" fillId="2" borderId="20" xfId="0" applyFont="1" applyFill="1" applyBorder="1"/>
    <xf numFmtId="0" fontId="2" fillId="2" borderId="23" xfId="0" applyFont="1" applyFill="1" applyBorder="1"/>
    <xf numFmtId="16" fontId="2" fillId="2" borderId="59" xfId="0" applyNumberFormat="1" applyFont="1" applyFill="1" applyBorder="1"/>
    <xf numFmtId="166" fontId="12" fillId="3" borderId="7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3" fillId="3" borderId="20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left"/>
    </xf>
    <xf numFmtId="166" fontId="12" fillId="3" borderId="4" xfId="0" applyNumberFormat="1" applyFont="1" applyFill="1" applyBorder="1" applyAlignment="1">
      <alignment horizontal="left"/>
    </xf>
    <xf numFmtId="0" fontId="14" fillId="2" borderId="60" xfId="0" applyFont="1" applyFill="1" applyBorder="1"/>
    <xf numFmtId="166" fontId="12" fillId="3" borderId="48" xfId="0" applyNumberFormat="1" applyFont="1" applyFill="1" applyBorder="1" applyAlignment="1">
      <alignment horizontal="center"/>
    </xf>
    <xf numFmtId="3" fontId="11" fillId="2" borderId="61" xfId="0" applyNumberFormat="1" applyFont="1" applyFill="1" applyBorder="1"/>
    <xf numFmtId="168" fontId="9" fillId="0" borderId="0" xfId="1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7" fillId="3" borderId="62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4" fillId="2" borderId="63" xfId="0" applyNumberFormat="1" applyFont="1" applyFill="1" applyBorder="1" applyAlignment="1">
      <alignment horizontal="center"/>
    </xf>
    <xf numFmtId="164" fontId="2" fillId="2" borderId="14" xfId="1" applyFont="1" applyFill="1" applyBorder="1" applyAlignment="1">
      <alignment horizontal="right"/>
    </xf>
    <xf numFmtId="166" fontId="7" fillId="3" borderId="64" xfId="0" applyNumberFormat="1" applyFont="1" applyFill="1" applyBorder="1" applyAlignment="1">
      <alignment horizontal="right"/>
    </xf>
    <xf numFmtId="14" fontId="2" fillId="2" borderId="14" xfId="3" applyNumberFormat="1" applyFont="1" applyFill="1" applyBorder="1" applyAlignment="1">
      <alignment horizontal="right"/>
    </xf>
    <xf numFmtId="14" fontId="4" fillId="2" borderId="14" xfId="3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0" fontId="2" fillId="2" borderId="14" xfId="1" applyNumberFormat="1" applyFont="1" applyFill="1" applyBorder="1" applyAlignment="1">
      <alignment horizontal="right"/>
    </xf>
    <xf numFmtId="2" fontId="2" fillId="2" borderId="14" xfId="1" applyNumberFormat="1" applyFont="1" applyFill="1" applyBorder="1" applyAlignment="1">
      <alignment horizontal="right"/>
    </xf>
    <xf numFmtId="16" fontId="2" fillId="2" borderId="15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" fontId="2" fillId="2" borderId="65" xfId="0" applyNumberFormat="1" applyFont="1" applyFill="1" applyBorder="1" applyAlignment="1">
      <alignment horizontal="left"/>
    </xf>
    <xf numFmtId="0" fontId="2" fillId="2" borderId="6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" fontId="7" fillId="2" borderId="0" xfId="0" applyNumberFormat="1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left"/>
    </xf>
    <xf numFmtId="16" fontId="4" fillId="2" borderId="67" xfId="0" applyNumberFormat="1" applyFont="1" applyFill="1" applyBorder="1" applyAlignment="1">
      <alignment horizontal="left"/>
    </xf>
    <xf numFmtId="16" fontId="7" fillId="2" borderId="67" xfId="0" applyNumberFormat="1" applyFont="1" applyFill="1" applyBorder="1" applyAlignment="1">
      <alignment horizontal="left"/>
    </xf>
    <xf numFmtId="14" fontId="2" fillId="5" borderId="56" xfId="0" applyNumberFormat="1" applyFont="1" applyFill="1" applyBorder="1"/>
    <xf numFmtId="166" fontId="7" fillId="5" borderId="58" xfId="0" applyNumberFormat="1" applyFont="1" applyFill="1" applyBorder="1" applyAlignment="1">
      <alignment horizontal="center"/>
    </xf>
    <xf numFmtId="166" fontId="4" fillId="2" borderId="68" xfId="0" applyNumberFormat="1" applyFont="1" applyFill="1" applyBorder="1"/>
    <xf numFmtId="166" fontId="2" fillId="3" borderId="69" xfId="0" applyNumberFormat="1" applyFont="1" applyFill="1" applyBorder="1" applyAlignment="1">
      <alignment horizontal="right"/>
    </xf>
    <xf numFmtId="166" fontId="2" fillId="0" borderId="69" xfId="0" applyNumberFormat="1" applyFont="1" applyFill="1" applyBorder="1" applyAlignment="1">
      <alignment horizontal="right"/>
    </xf>
    <xf numFmtId="166" fontId="4" fillId="0" borderId="68" xfId="0" applyNumberFormat="1" applyFont="1" applyFill="1" applyBorder="1"/>
    <xf numFmtId="166" fontId="2" fillId="4" borderId="70" xfId="0" applyNumberFormat="1" applyFont="1" applyFill="1" applyBorder="1" applyAlignment="1">
      <alignment horizontal="right"/>
    </xf>
    <xf numFmtId="166" fontId="2" fillId="4" borderId="71" xfId="0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166" fontId="4" fillId="2" borderId="57" xfId="0" applyNumberFormat="1" applyFont="1" applyFill="1" applyBorder="1"/>
    <xf numFmtId="2" fontId="2" fillId="2" borderId="14" xfId="1" applyNumberFormat="1" applyFont="1" applyFill="1" applyBorder="1" applyAlignment="1">
      <alignment horizontal="right" wrapText="1"/>
    </xf>
    <xf numFmtId="3" fontId="21" fillId="2" borderId="72" xfId="0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16" fontId="2" fillId="2" borderId="57" xfId="0" applyNumberFormat="1" applyFont="1" applyFill="1" applyBorder="1"/>
    <xf numFmtId="166" fontId="7" fillId="3" borderId="11" xfId="0" applyNumberFormat="1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right"/>
    </xf>
    <xf numFmtId="3" fontId="4" fillId="2" borderId="73" xfId="0" applyNumberFormat="1" applyFont="1" applyFill="1" applyBorder="1"/>
    <xf numFmtId="3" fontId="5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3" fontId="4" fillId="2" borderId="74" xfId="0" applyNumberFormat="1" applyFont="1" applyFill="1" applyBorder="1"/>
    <xf numFmtId="166" fontId="2" fillId="2" borderId="50" xfId="0" applyNumberFormat="1" applyFont="1" applyFill="1" applyBorder="1"/>
    <xf numFmtId="166" fontId="7" fillId="2" borderId="75" xfId="0" applyNumberFormat="1" applyFont="1" applyFill="1" applyBorder="1" applyAlignment="1">
      <alignment horizontal="right"/>
    </xf>
    <xf numFmtId="166" fontId="2" fillId="3" borderId="76" xfId="0" applyNumberFormat="1" applyFont="1" applyFill="1" applyBorder="1" applyAlignment="1">
      <alignment horizontal="right"/>
    </xf>
    <xf numFmtId="166" fontId="7" fillId="2" borderId="64" xfId="0" applyNumberFormat="1" applyFont="1" applyFill="1" applyBorder="1" applyAlignment="1">
      <alignment horizontal="right"/>
    </xf>
    <xf numFmtId="166" fontId="2" fillId="3" borderId="70" xfId="0" applyNumberFormat="1" applyFont="1" applyFill="1" applyBorder="1" applyAlignment="1">
      <alignment horizontal="right"/>
    </xf>
    <xf numFmtId="166" fontId="2" fillId="0" borderId="70" xfId="0" applyNumberFormat="1" applyFont="1" applyFill="1" applyBorder="1" applyAlignment="1">
      <alignment horizontal="right"/>
    </xf>
    <xf numFmtId="166" fontId="7" fillId="2" borderId="77" xfId="0" applyNumberFormat="1" applyFont="1" applyFill="1" applyBorder="1" applyAlignment="1">
      <alignment horizontal="right"/>
    </xf>
    <xf numFmtId="166" fontId="2" fillId="3" borderId="22" xfId="0" applyNumberFormat="1" applyFont="1" applyFill="1" applyBorder="1" applyAlignment="1">
      <alignment horizontal="right"/>
    </xf>
    <xf numFmtId="16" fontId="6" fillId="2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3" fontId="4" fillId="3" borderId="0" xfId="0" applyNumberFormat="1" applyFont="1" applyFill="1" applyBorder="1"/>
    <xf numFmtId="3" fontId="5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left"/>
    </xf>
    <xf numFmtId="2" fontId="2" fillId="2" borderId="0" xfId="1" applyNumberFormat="1" applyFont="1" applyFill="1" applyBorder="1" applyAlignment="1">
      <alignment horizontal="right" wrapText="1"/>
    </xf>
    <xf numFmtId="168" fontId="18" fillId="2" borderId="0" xfId="6" applyNumberFormat="1" applyFont="1" applyFill="1" applyBorder="1" applyAlignment="1">
      <alignment horizontal="center"/>
    </xf>
    <xf numFmtId="166" fontId="2" fillId="2" borderId="0" xfId="0" applyNumberFormat="1" applyFont="1" applyFill="1" applyBorder="1"/>
    <xf numFmtId="0" fontId="2" fillId="2" borderId="31" xfId="0" applyFont="1" applyFill="1" applyBorder="1" applyAlignment="1">
      <alignment horizontal="left"/>
    </xf>
    <xf numFmtId="16" fontId="4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/>
    <xf numFmtId="3" fontId="7" fillId="2" borderId="78" xfId="0" applyNumberFormat="1" applyFont="1" applyFill="1" applyBorder="1"/>
    <xf numFmtId="16" fontId="2" fillId="2" borderId="0" xfId="0" applyNumberFormat="1" applyFont="1" applyFill="1" applyBorder="1"/>
    <xf numFmtId="168" fontId="4" fillId="2" borderId="0" xfId="0" applyNumberFormat="1" applyFont="1" applyFill="1" applyBorder="1"/>
    <xf numFmtId="16" fontId="2" fillId="2" borderId="79" xfId="0" applyNumberFormat="1" applyFont="1" applyFill="1" applyBorder="1"/>
    <xf numFmtId="16" fontId="6" fillId="2" borderId="80" xfId="0" applyNumberFormat="1" applyFont="1" applyFill="1" applyBorder="1" applyAlignment="1">
      <alignment horizontal="center"/>
    </xf>
    <xf numFmtId="166" fontId="7" fillId="3" borderId="81" xfId="0" applyNumberFormat="1" applyFont="1" applyFill="1" applyBorder="1" applyAlignment="1">
      <alignment horizontal="center"/>
    </xf>
    <xf numFmtId="166" fontId="7" fillId="3" borderId="82" xfId="0" applyNumberFormat="1" applyFont="1" applyFill="1" applyBorder="1" applyAlignment="1">
      <alignment horizontal="right"/>
    </xf>
    <xf numFmtId="166" fontId="3" fillId="3" borderId="83" xfId="0" applyNumberFormat="1" applyFont="1" applyFill="1" applyBorder="1" applyAlignment="1">
      <alignment horizontal="right"/>
    </xf>
    <xf numFmtId="166" fontId="7" fillId="3" borderId="75" xfId="0" applyNumberFormat="1" applyFont="1" applyFill="1" applyBorder="1" applyAlignment="1">
      <alignment horizontal="right"/>
    </xf>
    <xf numFmtId="166" fontId="7" fillId="2" borderId="84" xfId="0" applyNumberFormat="1" applyFont="1" applyFill="1" applyBorder="1" applyAlignment="1">
      <alignment horizontal="right"/>
    </xf>
    <xf numFmtId="166" fontId="2" fillId="3" borderId="75" xfId="0" applyNumberFormat="1" applyFont="1" applyFill="1" applyBorder="1" applyAlignment="1">
      <alignment horizontal="right"/>
    </xf>
    <xf numFmtId="166" fontId="2" fillId="4" borderId="76" xfId="0" applyNumberFormat="1" applyFont="1" applyFill="1" applyBorder="1" applyAlignment="1">
      <alignment horizontal="right"/>
    </xf>
    <xf numFmtId="166" fontId="4" fillId="2" borderId="85" xfId="0" applyNumberFormat="1" applyFont="1" applyFill="1" applyBorder="1"/>
    <xf numFmtId="166" fontId="4" fillId="2" borderId="82" xfId="0" applyNumberFormat="1" applyFont="1" applyFill="1" applyBorder="1"/>
    <xf numFmtId="3" fontId="4" fillId="2" borderId="86" xfId="0" applyNumberFormat="1" applyFont="1" applyFill="1" applyBorder="1"/>
    <xf numFmtId="3" fontId="5" fillId="2" borderId="80" xfId="0" applyNumberFormat="1" applyFont="1" applyFill="1" applyBorder="1" applyAlignment="1">
      <alignment horizontal="center"/>
    </xf>
    <xf numFmtId="4" fontId="3" fillId="2" borderId="80" xfId="0" applyNumberFormat="1" applyFont="1" applyFill="1" applyBorder="1" applyAlignment="1">
      <alignment horizontal="center"/>
    </xf>
    <xf numFmtId="3" fontId="4" fillId="2" borderId="80" xfId="0" applyNumberFormat="1" applyFont="1" applyFill="1" applyBorder="1"/>
    <xf numFmtId="3" fontId="4" fillId="2" borderId="87" xfId="0" applyNumberFormat="1" applyFont="1" applyFill="1" applyBorder="1"/>
    <xf numFmtId="16" fontId="2" fillId="2" borderId="21" xfId="0" applyNumberFormat="1" applyFont="1" applyFill="1" applyBorder="1" applyAlignment="1">
      <alignment horizontal="left"/>
    </xf>
    <xf numFmtId="164" fontId="2" fillId="2" borderId="20" xfId="1" applyFont="1" applyFill="1" applyBorder="1" applyAlignment="1">
      <alignment horizontal="right"/>
    </xf>
    <xf numFmtId="168" fontId="18" fillId="2" borderId="7" xfId="6" applyNumberFormat="1" applyFont="1" applyFill="1" applyBorder="1" applyAlignment="1">
      <alignment horizontal="center"/>
    </xf>
    <xf numFmtId="166" fontId="2" fillId="2" borderId="60" xfId="0" applyNumberFormat="1" applyFont="1" applyFill="1" applyBorder="1"/>
    <xf numFmtId="166" fontId="4" fillId="2" borderId="7" xfId="0" applyNumberFormat="1" applyFont="1" applyFill="1" applyBorder="1"/>
    <xf numFmtId="166" fontId="2" fillId="2" borderId="20" xfId="0" applyNumberFormat="1" applyFont="1" applyFill="1" applyBorder="1"/>
    <xf numFmtId="166" fontId="2" fillId="2" borderId="14" xfId="0" applyNumberFormat="1" applyFont="1" applyFill="1" applyBorder="1"/>
    <xf numFmtId="0" fontId="4" fillId="0" borderId="0" xfId="0" applyFont="1" applyFill="1" applyBorder="1"/>
    <xf numFmtId="0" fontId="4" fillId="2" borderId="14" xfId="0" applyFont="1" applyFill="1" applyBorder="1"/>
    <xf numFmtId="16" fontId="2" fillId="2" borderId="88" xfId="0" applyNumberFormat="1" applyFont="1" applyFill="1" applyBorder="1"/>
    <xf numFmtId="16" fontId="6" fillId="2" borderId="89" xfId="0" applyNumberFormat="1" applyFont="1" applyFill="1" applyBorder="1" applyAlignment="1">
      <alignment horizontal="center"/>
    </xf>
    <xf numFmtId="166" fontId="7" fillId="3" borderId="90" xfId="0" applyNumberFormat="1" applyFont="1" applyFill="1" applyBorder="1" applyAlignment="1">
      <alignment horizontal="center"/>
    </xf>
    <xf numFmtId="166" fontId="7" fillId="3" borderId="32" xfId="0" applyNumberFormat="1" applyFont="1" applyFill="1" applyBorder="1" applyAlignment="1">
      <alignment horizontal="right"/>
    </xf>
    <xf numFmtId="166" fontId="3" fillId="3" borderId="91" xfId="0" applyNumberFormat="1" applyFont="1" applyFill="1" applyBorder="1" applyAlignment="1">
      <alignment horizontal="right"/>
    </xf>
    <xf numFmtId="166" fontId="7" fillId="3" borderId="77" xfId="0" applyNumberFormat="1" applyFont="1" applyFill="1" applyBorder="1" applyAlignment="1">
      <alignment horizontal="right"/>
    </xf>
    <xf numFmtId="166" fontId="7" fillId="3" borderId="92" xfId="0" applyNumberFormat="1" applyFont="1" applyFill="1" applyBorder="1" applyAlignment="1">
      <alignment horizontal="right"/>
    </xf>
    <xf numFmtId="166" fontId="7" fillId="2" borderId="92" xfId="0" applyNumberFormat="1" applyFont="1" applyFill="1" applyBorder="1" applyAlignment="1">
      <alignment horizontal="right"/>
    </xf>
    <xf numFmtId="166" fontId="2" fillId="3" borderId="18" xfId="0" applyNumberFormat="1" applyFont="1" applyFill="1" applyBorder="1" applyAlignment="1">
      <alignment horizontal="right"/>
    </xf>
    <xf numFmtId="166" fontId="2" fillId="4" borderId="22" xfId="0" applyNumberFormat="1" applyFont="1" applyFill="1" applyBorder="1" applyAlignment="1">
      <alignment horizontal="right"/>
    </xf>
    <xf numFmtId="166" fontId="4" fillId="2" borderId="23" xfId="0" applyNumberFormat="1" applyFont="1" applyFill="1" applyBorder="1"/>
    <xf numFmtId="166" fontId="4" fillId="2" borderId="26" xfId="0" applyNumberFormat="1" applyFont="1" applyFill="1" applyBorder="1"/>
    <xf numFmtId="3" fontId="4" fillId="3" borderId="28" xfId="0" applyNumberFormat="1" applyFont="1" applyFill="1" applyBorder="1"/>
    <xf numFmtId="3" fontId="5" fillId="2" borderId="89" xfId="0" applyNumberFormat="1" applyFont="1" applyFill="1" applyBorder="1" applyAlignment="1">
      <alignment horizontal="center"/>
    </xf>
    <xf numFmtId="4" fontId="3" fillId="2" borderId="89" xfId="0" applyNumberFormat="1" applyFont="1" applyFill="1" applyBorder="1" applyAlignment="1">
      <alignment horizontal="center"/>
    </xf>
    <xf numFmtId="3" fontId="4" fillId="2" borderId="29" xfId="0" applyNumberFormat="1" applyFont="1" applyFill="1" applyBorder="1"/>
    <xf numFmtId="3" fontId="4" fillId="3" borderId="30" xfId="0" applyNumberFormat="1" applyFont="1" applyFill="1" applyBorder="1"/>
    <xf numFmtId="16" fontId="2" fillId="2" borderId="31" xfId="0" applyNumberFormat="1" applyFont="1" applyFill="1" applyBorder="1" applyAlignment="1">
      <alignment horizontal="left"/>
    </xf>
    <xf numFmtId="2" fontId="2" fillId="2" borderId="23" xfId="1" applyNumberFormat="1" applyFont="1" applyFill="1" applyBorder="1" applyAlignment="1">
      <alignment horizontal="right" wrapText="1"/>
    </xf>
    <xf numFmtId="168" fontId="18" fillId="2" borderId="18" xfId="6" applyNumberFormat="1" applyFont="1" applyFill="1" applyBorder="1" applyAlignment="1">
      <alignment horizontal="center"/>
    </xf>
    <xf numFmtId="166" fontId="2" fillId="2" borderId="78" xfId="0" applyNumberFormat="1" applyFont="1" applyFill="1" applyBorder="1"/>
    <xf numFmtId="166" fontId="4" fillId="2" borderId="18" xfId="0" applyNumberFormat="1" applyFont="1" applyFill="1" applyBorder="1"/>
    <xf numFmtId="166" fontId="2" fillId="2" borderId="23" xfId="0" applyNumberFormat="1" applyFont="1" applyFill="1" applyBorder="1"/>
    <xf numFmtId="164" fontId="2" fillId="2" borderId="0" xfId="1" applyFont="1" applyFill="1" applyBorder="1" applyAlignment="1">
      <alignment horizontal="right"/>
    </xf>
    <xf numFmtId="164" fontId="2" fillId="2" borderId="23" xfId="1" applyFont="1" applyFill="1" applyBorder="1" applyAlignment="1">
      <alignment horizontal="right"/>
    </xf>
    <xf numFmtId="16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167" fontId="2" fillId="2" borderId="14" xfId="1" applyNumberFormat="1" applyFont="1" applyFill="1" applyBorder="1" applyAlignment="1"/>
    <xf numFmtId="166" fontId="7" fillId="3" borderId="93" xfId="0" applyNumberFormat="1" applyFont="1" applyFill="1" applyBorder="1" applyAlignment="1">
      <alignment horizontal="center"/>
    </xf>
    <xf numFmtId="166" fontId="7" fillId="3" borderId="94" xfId="0" applyNumberFormat="1" applyFont="1" applyFill="1" applyBorder="1" applyAlignment="1">
      <alignment horizontal="right"/>
    </xf>
    <xf numFmtId="166" fontId="3" fillId="3" borderId="95" xfId="0" applyNumberFormat="1" applyFont="1" applyFill="1" applyBorder="1" applyAlignment="1">
      <alignment horizontal="right"/>
    </xf>
    <xf numFmtId="166" fontId="7" fillId="3" borderId="96" xfId="0" applyNumberFormat="1" applyFont="1" applyFill="1" applyBorder="1" applyAlignment="1">
      <alignment horizontal="right"/>
    </xf>
    <xf numFmtId="166" fontId="7" fillId="3" borderId="97" xfId="0" applyNumberFormat="1" applyFont="1" applyFill="1" applyBorder="1" applyAlignment="1">
      <alignment horizontal="right"/>
    </xf>
    <xf numFmtId="166" fontId="7" fillId="2" borderId="96" xfId="0" applyNumberFormat="1" applyFont="1" applyFill="1" applyBorder="1" applyAlignment="1">
      <alignment horizontal="right"/>
    </xf>
    <xf numFmtId="16" fontId="2" fillId="2" borderId="98" xfId="0" applyNumberFormat="1" applyFont="1" applyFill="1" applyBorder="1"/>
    <xf numFmtId="16" fontId="6" fillId="2" borderId="99" xfId="0" applyNumberFormat="1" applyFont="1" applyFill="1" applyBorder="1" applyAlignment="1">
      <alignment horizontal="center"/>
    </xf>
    <xf numFmtId="166" fontId="7" fillId="3" borderId="100" xfId="0" applyNumberFormat="1" applyFont="1" applyFill="1" applyBorder="1" applyAlignment="1">
      <alignment horizontal="center"/>
    </xf>
    <xf numFmtId="166" fontId="7" fillId="3" borderId="101" xfId="0" applyNumberFormat="1" applyFont="1" applyFill="1" applyBorder="1" applyAlignment="1">
      <alignment horizontal="right"/>
    </xf>
    <xf numFmtId="166" fontId="3" fillId="3" borderId="102" xfId="0" applyNumberFormat="1" applyFont="1" applyFill="1" applyBorder="1" applyAlignment="1">
      <alignment horizontal="right"/>
    </xf>
    <xf numFmtId="166" fontId="7" fillId="3" borderId="103" xfId="0" applyNumberFormat="1" applyFont="1" applyFill="1" applyBorder="1" applyAlignment="1">
      <alignment horizontal="right"/>
    </xf>
    <xf numFmtId="166" fontId="7" fillId="3" borderId="104" xfId="0" applyNumberFormat="1" applyFont="1" applyFill="1" applyBorder="1" applyAlignment="1">
      <alignment horizontal="right"/>
    </xf>
    <xf numFmtId="166" fontId="7" fillId="2" borderId="103" xfId="0" applyNumberFormat="1" applyFont="1" applyFill="1" applyBorder="1" applyAlignment="1">
      <alignment horizontal="right"/>
    </xf>
    <xf numFmtId="16" fontId="2" fillId="2" borderId="106" xfId="0" applyNumberFormat="1" applyFont="1" applyFill="1" applyBorder="1" applyAlignment="1">
      <alignment horizontal="left"/>
    </xf>
    <xf numFmtId="164" fontId="2" fillId="2" borderId="105" xfId="1" applyFont="1" applyFill="1" applyBorder="1" applyAlignment="1">
      <alignment horizontal="right"/>
    </xf>
    <xf numFmtId="168" fontId="18" fillId="2" borderId="107" xfId="6" applyNumberFormat="1" applyFont="1" applyFill="1" applyBorder="1" applyAlignment="1">
      <alignment horizontal="center"/>
    </xf>
    <xf numFmtId="166" fontId="2" fillId="2" borderId="108" xfId="0" applyNumberFormat="1" applyFont="1" applyFill="1" applyBorder="1"/>
    <xf numFmtId="166" fontId="2" fillId="2" borderId="105" xfId="0" applyNumberFormat="1" applyFont="1" applyFill="1" applyBorder="1"/>
    <xf numFmtId="166" fontId="4" fillId="2" borderId="106" xfId="0" applyNumberFormat="1" applyFont="1" applyFill="1" applyBorder="1"/>
    <xf numFmtId="171" fontId="2" fillId="2" borderId="0" xfId="3" applyNumberFormat="1" applyFont="1" applyFill="1" applyBorder="1" applyAlignment="1">
      <alignment horizontal="left"/>
    </xf>
    <xf numFmtId="14" fontId="2" fillId="2" borderId="0" xfId="3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166" fontId="22" fillId="0" borderId="69" xfId="0" applyNumberFormat="1" applyFont="1" applyFill="1" applyBorder="1" applyAlignment="1">
      <alignment horizontal="right"/>
    </xf>
    <xf numFmtId="168" fontId="18" fillId="2" borderId="4" xfId="6" applyNumberFormat="1" applyFont="1" applyFill="1" applyBorder="1" applyAlignment="1">
      <alignment horizontal="center"/>
    </xf>
    <xf numFmtId="16" fontId="11" fillId="2" borderId="0" xfId="0" applyNumberFormat="1" applyFont="1" applyFill="1" applyBorder="1"/>
    <xf numFmtId="172" fontId="2" fillId="2" borderId="50" xfId="0" applyNumberFormat="1" applyFont="1" applyFill="1" applyBorder="1" applyAlignment="1">
      <alignment horizontal="right"/>
    </xf>
    <xf numFmtId="172" fontId="2" fillId="2" borderId="19" xfId="0" applyNumberFormat="1" applyFont="1" applyFill="1" applyBorder="1" applyAlignment="1">
      <alignment horizontal="right"/>
    </xf>
    <xf numFmtId="172" fontId="2" fillId="2" borderId="112" xfId="0" applyNumberFormat="1" applyFont="1" applyFill="1" applyBorder="1"/>
    <xf numFmtId="14" fontId="2" fillId="2" borderId="112" xfId="3" applyNumberFormat="1" applyFont="1" applyFill="1" applyBorder="1" applyAlignment="1">
      <alignment horizontal="right"/>
    </xf>
    <xf numFmtId="172" fontId="2" fillId="2" borderId="112" xfId="0" applyNumberFormat="1" applyFont="1" applyFill="1" applyBorder="1" applyAlignment="1">
      <alignment horizontal="right"/>
    </xf>
    <xf numFmtId="171" fontId="2" fillId="2" borderId="112" xfId="3" applyNumberFormat="1" applyFont="1" applyFill="1" applyBorder="1" applyAlignment="1">
      <alignment horizontal="right"/>
    </xf>
    <xf numFmtId="14" fontId="2" fillId="2" borderId="22" xfId="3" applyNumberFormat="1" applyFont="1" applyFill="1" applyBorder="1" applyAlignment="1">
      <alignment horizontal="right"/>
    </xf>
    <xf numFmtId="171" fontId="2" fillId="2" borderId="4" xfId="3" applyNumberFormat="1" applyFont="1" applyFill="1" applyBorder="1" applyAlignment="1">
      <alignment horizontal="left"/>
    </xf>
    <xf numFmtId="2" fontId="2" fillId="2" borderId="26" xfId="1" applyNumberFormat="1" applyFont="1" applyFill="1" applyBorder="1" applyAlignment="1">
      <alignment horizontal="right"/>
    </xf>
    <xf numFmtId="168" fontId="18" fillId="2" borderId="26" xfId="6" applyNumberFormat="1" applyFont="1" applyFill="1" applyBorder="1" applyAlignment="1">
      <alignment horizontal="center"/>
    </xf>
    <xf numFmtId="0" fontId="4" fillId="2" borderId="67" xfId="0" applyFont="1" applyFill="1" applyBorder="1"/>
    <xf numFmtId="0" fontId="2" fillId="2" borderId="113" xfId="0" applyFont="1" applyFill="1" applyBorder="1" applyAlignment="1">
      <alignment horizontal="left"/>
    </xf>
    <xf numFmtId="16" fontId="4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3" fontId="7" fillId="2" borderId="34" xfId="0" applyNumberFormat="1" applyFont="1" applyFill="1" applyBorder="1"/>
    <xf numFmtId="0" fontId="2" fillId="2" borderId="57" xfId="0" applyFont="1" applyFill="1" applyBorder="1" applyAlignment="1">
      <alignment horizontal="left"/>
    </xf>
    <xf numFmtId="3" fontId="2" fillId="2" borderId="19" xfId="0" applyNumberFormat="1" applyFont="1" applyFill="1" applyBorder="1" applyAlignment="1"/>
    <xf numFmtId="16" fontId="2" fillId="2" borderId="57" xfId="0" applyNumberFormat="1" applyFont="1" applyFill="1" applyBorder="1" applyAlignment="1">
      <alignment horizontal="left"/>
    </xf>
    <xf numFmtId="166" fontId="3" fillId="3" borderId="112" xfId="0" applyNumberFormat="1" applyFont="1" applyFill="1" applyBorder="1" applyAlignment="1"/>
    <xf numFmtId="16" fontId="2" fillId="2" borderId="18" xfId="0" applyNumberFormat="1" applyFont="1" applyFill="1" applyBorder="1" applyAlignment="1">
      <alignment horizontal="left"/>
    </xf>
    <xf numFmtId="16" fontId="4" fillId="2" borderId="26" xfId="0" applyNumberFormat="1" applyFont="1" applyFill="1" applyBorder="1" applyAlignment="1">
      <alignment horizontal="left"/>
    </xf>
    <xf numFmtId="16" fontId="7" fillId="2" borderId="26" xfId="0" applyNumberFormat="1" applyFont="1" applyFill="1" applyBorder="1" applyAlignment="1">
      <alignment horizontal="left"/>
    </xf>
    <xf numFmtId="3" fontId="21" fillId="2" borderId="22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71" xfId="0" applyNumberFormat="1" applyFont="1" applyFill="1" applyBorder="1" applyAlignment="1">
      <alignment horizontal="right"/>
    </xf>
    <xf numFmtId="166" fontId="7" fillId="2" borderId="114" xfId="0" applyNumberFormat="1" applyFont="1" applyFill="1" applyBorder="1" applyAlignment="1">
      <alignment horizontal="right"/>
    </xf>
    <xf numFmtId="166" fontId="7" fillId="2" borderId="115" xfId="0" applyNumberFormat="1" applyFont="1" applyFill="1" applyBorder="1" applyAlignment="1">
      <alignment horizontal="right"/>
    </xf>
    <xf numFmtId="166" fontId="4" fillId="3" borderId="116" xfId="0" applyNumberFormat="1" applyFont="1" applyFill="1" applyBorder="1"/>
    <xf numFmtId="166" fontId="7" fillId="3" borderId="117" xfId="0" applyNumberFormat="1" applyFont="1" applyFill="1" applyBorder="1" applyAlignment="1">
      <alignment horizontal="center"/>
    </xf>
    <xf numFmtId="166" fontId="0" fillId="0" borderId="0" xfId="0" applyNumberFormat="1"/>
    <xf numFmtId="166" fontId="7" fillId="3" borderId="118" xfId="0" applyNumberFormat="1" applyFont="1" applyFill="1" applyBorder="1" applyAlignment="1">
      <alignment horizontal="center"/>
    </xf>
    <xf numFmtId="0" fontId="1" fillId="0" borderId="0" xfId="0" applyFont="1"/>
    <xf numFmtId="4" fontId="4" fillId="2" borderId="0" xfId="0" applyNumberFormat="1" applyFont="1" applyFill="1"/>
    <xf numFmtId="4" fontId="2" fillId="2" borderId="14" xfId="0" applyNumberFormat="1" applyFont="1" applyFill="1" applyBorder="1" applyAlignment="1">
      <alignment horizontal="right"/>
    </xf>
    <xf numFmtId="166" fontId="7" fillId="6" borderId="62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right"/>
    </xf>
    <xf numFmtId="166" fontId="3" fillId="6" borderId="13" xfId="0" applyNumberFormat="1" applyFont="1" applyFill="1" applyBorder="1" applyAlignment="1">
      <alignment horizontal="right"/>
    </xf>
    <xf numFmtId="166" fontId="7" fillId="6" borderId="64" xfId="0" applyNumberFormat="1" applyFont="1" applyFill="1" applyBorder="1" applyAlignment="1">
      <alignment horizontal="right"/>
    </xf>
    <xf numFmtId="166" fontId="7" fillId="6" borderId="12" xfId="0" applyNumberFormat="1" applyFont="1" applyFill="1" applyBorder="1" applyAlignment="1">
      <alignment horizontal="right"/>
    </xf>
    <xf numFmtId="166" fontId="2" fillId="6" borderId="70" xfId="0" applyNumberFormat="1" applyFont="1" applyFill="1" applyBorder="1" applyAlignment="1">
      <alignment horizontal="right"/>
    </xf>
    <xf numFmtId="166" fontId="7" fillId="6" borderId="11" xfId="0" applyNumberFormat="1" applyFont="1" applyFill="1" applyBorder="1" applyAlignment="1">
      <alignment horizontal="right"/>
    </xf>
    <xf numFmtId="166" fontId="7" fillId="6" borderId="11" xfId="0" applyNumberFormat="1" applyFont="1" applyFill="1" applyBorder="1" applyAlignment="1">
      <alignment horizontal="center" vertical="center"/>
    </xf>
    <xf numFmtId="166" fontId="23" fillId="3" borderId="70" xfId="0" applyNumberFormat="1" applyFont="1" applyFill="1" applyBorder="1" applyAlignment="1">
      <alignment horizontal="right"/>
    </xf>
    <xf numFmtId="166" fontId="11" fillId="3" borderId="17" xfId="0" applyNumberFormat="1" applyFont="1" applyFill="1" applyBorder="1" applyAlignment="1">
      <alignment horizontal="center" vertical="center" wrapText="1"/>
    </xf>
    <xf numFmtId="166" fontId="11" fillId="3" borderId="109" xfId="0" applyNumberFormat="1" applyFont="1" applyFill="1" applyBorder="1" applyAlignment="1">
      <alignment horizontal="center" vertical="center" wrapText="1"/>
    </xf>
    <xf numFmtId="166" fontId="12" fillId="3" borderId="110" xfId="0" applyNumberFormat="1" applyFont="1" applyFill="1" applyBorder="1" applyAlignment="1">
      <alignment horizontal="center" vertical="center" wrapText="1"/>
    </xf>
    <xf numFmtId="166" fontId="12" fillId="3" borderId="111" xfId="0" applyNumberFormat="1" applyFont="1" applyFill="1" applyBorder="1" applyAlignment="1">
      <alignment horizontal="center" vertical="center" wrapText="1"/>
    </xf>
    <xf numFmtId="166" fontId="12" fillId="3" borderId="19" xfId="0" applyNumberFormat="1" applyFont="1" applyFill="1" applyBorder="1" applyAlignment="1">
      <alignment horizontal="center" vertical="center" wrapText="1"/>
    </xf>
    <xf numFmtId="166" fontId="12" fillId="3" borderId="22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[0] 2" xfId="2" xr:uid="{00000000-0005-0000-0000-000001000000}"/>
    <cellStyle name="Comma [0]_RobEcb012012" xfId="3" xr:uid="{00000000-0005-0000-0000-000002000000}"/>
    <cellStyle name="Comma 2" xfId="4" xr:uid="{00000000-0005-0000-0000-000003000000}"/>
    <cellStyle name="Comma 3" xfId="5" xr:uid="{00000000-0005-0000-0000-000004000000}"/>
    <cellStyle name="Comma_RobEcb012012" xfId="6" xr:uid="{00000000-0005-0000-0000-000005000000}"/>
    <cellStyle name="Euro" xfId="7" xr:uid="{00000000-0005-0000-0000-000006000000}"/>
    <cellStyle name="Hyperlink 2" xfId="8" xr:uid="{00000000-0005-0000-0000-000007000000}"/>
    <cellStyle name="Normal" xfId="0" builtinId="0"/>
    <cellStyle name="Normal 2" xfId="9" xr:uid="{B10793BE-C91C-4DFC-8BBC-D6B8E5F97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91780821917804E-2"/>
          <c:y val="3.8602975825568549E-2"/>
          <c:w val="0.82191780821917804"/>
          <c:h val="0.77022127956729625"/>
        </c:manualLayout>
      </c:layout>
      <c:areaChart>
        <c:grouping val="standard"/>
        <c:varyColors val="0"/>
        <c:ser>
          <c:idx val="1"/>
          <c:order val="0"/>
          <c:tx>
            <c:strRef>
              <c:f>'Standing Facilities'!$B$1</c:f>
              <c:strCache>
                <c:ptCount val="1"/>
                <c:pt idx="0">
                  <c:v>Marginal Lending (LHS)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'Standing Facilities'!$A$411:$A$1514</c:f>
              <c:numCache>
                <c:formatCode>m/d/yyyy</c:formatCode>
                <c:ptCount val="1104"/>
                <c:pt idx="0">
                  <c:v>40185</c:v>
                </c:pt>
                <c:pt idx="1">
                  <c:v>40186</c:v>
                </c:pt>
                <c:pt idx="2">
                  <c:v>40189</c:v>
                </c:pt>
                <c:pt idx="3">
                  <c:v>40190</c:v>
                </c:pt>
                <c:pt idx="4">
                  <c:v>40191</c:v>
                </c:pt>
                <c:pt idx="5">
                  <c:v>40192</c:v>
                </c:pt>
                <c:pt idx="6">
                  <c:v>40193</c:v>
                </c:pt>
                <c:pt idx="7">
                  <c:v>40196</c:v>
                </c:pt>
                <c:pt idx="8">
                  <c:v>40197</c:v>
                </c:pt>
                <c:pt idx="9">
                  <c:v>40198</c:v>
                </c:pt>
                <c:pt idx="10">
                  <c:v>40199</c:v>
                </c:pt>
                <c:pt idx="11">
                  <c:v>40200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40210</c:v>
                </c:pt>
                <c:pt idx="18">
                  <c:v>40211</c:v>
                </c:pt>
                <c:pt idx="19">
                  <c:v>40212</c:v>
                </c:pt>
                <c:pt idx="20">
                  <c:v>40213</c:v>
                </c:pt>
                <c:pt idx="21">
                  <c:v>40214</c:v>
                </c:pt>
                <c:pt idx="22">
                  <c:v>40217</c:v>
                </c:pt>
                <c:pt idx="23">
                  <c:v>40218</c:v>
                </c:pt>
                <c:pt idx="24">
                  <c:v>40219</c:v>
                </c:pt>
                <c:pt idx="25">
                  <c:v>40220</c:v>
                </c:pt>
                <c:pt idx="26">
                  <c:v>40221</c:v>
                </c:pt>
                <c:pt idx="27">
                  <c:v>40224</c:v>
                </c:pt>
                <c:pt idx="28">
                  <c:v>40225</c:v>
                </c:pt>
                <c:pt idx="29">
                  <c:v>40226</c:v>
                </c:pt>
                <c:pt idx="30">
                  <c:v>40227</c:v>
                </c:pt>
                <c:pt idx="31">
                  <c:v>40228</c:v>
                </c:pt>
                <c:pt idx="32">
                  <c:v>40229</c:v>
                </c:pt>
                <c:pt idx="33">
                  <c:v>40232</c:v>
                </c:pt>
                <c:pt idx="34">
                  <c:v>40233</c:v>
                </c:pt>
                <c:pt idx="35">
                  <c:v>40234</c:v>
                </c:pt>
                <c:pt idx="36">
                  <c:v>40235</c:v>
                </c:pt>
                <c:pt idx="37">
                  <c:v>40238</c:v>
                </c:pt>
                <c:pt idx="38">
                  <c:v>40239</c:v>
                </c:pt>
                <c:pt idx="39">
                  <c:v>40240</c:v>
                </c:pt>
                <c:pt idx="40">
                  <c:v>40241</c:v>
                </c:pt>
                <c:pt idx="41">
                  <c:v>40242</c:v>
                </c:pt>
                <c:pt idx="42">
                  <c:v>40243</c:v>
                </c:pt>
                <c:pt idx="43">
                  <c:v>40246</c:v>
                </c:pt>
                <c:pt idx="44">
                  <c:v>40247</c:v>
                </c:pt>
                <c:pt idx="45">
                  <c:v>40248</c:v>
                </c:pt>
                <c:pt idx="46">
                  <c:v>40249</c:v>
                </c:pt>
                <c:pt idx="47">
                  <c:v>40252</c:v>
                </c:pt>
                <c:pt idx="48">
                  <c:v>40253</c:v>
                </c:pt>
                <c:pt idx="49">
                  <c:v>40254</c:v>
                </c:pt>
                <c:pt idx="50">
                  <c:v>40255</c:v>
                </c:pt>
                <c:pt idx="51">
                  <c:v>40256</c:v>
                </c:pt>
                <c:pt idx="52">
                  <c:v>40259</c:v>
                </c:pt>
                <c:pt idx="53">
                  <c:v>40260</c:v>
                </c:pt>
                <c:pt idx="54">
                  <c:v>40261</c:v>
                </c:pt>
                <c:pt idx="55">
                  <c:v>40262</c:v>
                </c:pt>
                <c:pt idx="56">
                  <c:v>40263</c:v>
                </c:pt>
                <c:pt idx="57">
                  <c:v>40266</c:v>
                </c:pt>
                <c:pt idx="58">
                  <c:v>40267</c:v>
                </c:pt>
                <c:pt idx="59">
                  <c:v>40268</c:v>
                </c:pt>
                <c:pt idx="60">
                  <c:v>40269</c:v>
                </c:pt>
                <c:pt idx="61">
                  <c:v>40270</c:v>
                </c:pt>
                <c:pt idx="62">
                  <c:v>40275</c:v>
                </c:pt>
                <c:pt idx="63">
                  <c:v>40276</c:v>
                </c:pt>
                <c:pt idx="64">
                  <c:v>40277</c:v>
                </c:pt>
                <c:pt idx="65">
                  <c:v>40278</c:v>
                </c:pt>
                <c:pt idx="66">
                  <c:v>40281</c:v>
                </c:pt>
                <c:pt idx="67">
                  <c:v>40282</c:v>
                </c:pt>
                <c:pt idx="68">
                  <c:v>40283</c:v>
                </c:pt>
                <c:pt idx="69">
                  <c:v>40284</c:v>
                </c:pt>
                <c:pt idx="70">
                  <c:v>40287</c:v>
                </c:pt>
                <c:pt idx="71">
                  <c:v>40288</c:v>
                </c:pt>
                <c:pt idx="72">
                  <c:v>40289</c:v>
                </c:pt>
                <c:pt idx="73">
                  <c:v>40290</c:v>
                </c:pt>
                <c:pt idx="74">
                  <c:v>40291</c:v>
                </c:pt>
                <c:pt idx="75">
                  <c:v>40294</c:v>
                </c:pt>
                <c:pt idx="76">
                  <c:v>40295</c:v>
                </c:pt>
                <c:pt idx="77">
                  <c:v>40296</c:v>
                </c:pt>
                <c:pt idx="78">
                  <c:v>40297</c:v>
                </c:pt>
                <c:pt idx="79">
                  <c:v>40298</c:v>
                </c:pt>
                <c:pt idx="80">
                  <c:v>40301</c:v>
                </c:pt>
                <c:pt idx="81">
                  <c:v>40302</c:v>
                </c:pt>
                <c:pt idx="82">
                  <c:v>40303</c:v>
                </c:pt>
                <c:pt idx="83">
                  <c:v>40304</c:v>
                </c:pt>
                <c:pt idx="84">
                  <c:v>40305</c:v>
                </c:pt>
                <c:pt idx="85">
                  <c:v>40308</c:v>
                </c:pt>
                <c:pt idx="86">
                  <c:v>40309</c:v>
                </c:pt>
                <c:pt idx="87">
                  <c:v>40310</c:v>
                </c:pt>
                <c:pt idx="88">
                  <c:v>40311</c:v>
                </c:pt>
                <c:pt idx="89">
                  <c:v>40312</c:v>
                </c:pt>
                <c:pt idx="90">
                  <c:v>40315</c:v>
                </c:pt>
                <c:pt idx="91">
                  <c:v>40316</c:v>
                </c:pt>
                <c:pt idx="92">
                  <c:v>40317</c:v>
                </c:pt>
                <c:pt idx="93">
                  <c:v>40318</c:v>
                </c:pt>
                <c:pt idx="94">
                  <c:v>40319</c:v>
                </c:pt>
                <c:pt idx="95">
                  <c:v>40322</c:v>
                </c:pt>
                <c:pt idx="96">
                  <c:v>40323</c:v>
                </c:pt>
                <c:pt idx="97">
                  <c:v>40324</c:v>
                </c:pt>
                <c:pt idx="98">
                  <c:v>40325</c:v>
                </c:pt>
                <c:pt idx="99">
                  <c:v>40326</c:v>
                </c:pt>
                <c:pt idx="100">
                  <c:v>40329</c:v>
                </c:pt>
                <c:pt idx="101">
                  <c:v>40330</c:v>
                </c:pt>
                <c:pt idx="102">
                  <c:v>40331</c:v>
                </c:pt>
                <c:pt idx="103">
                  <c:v>40332</c:v>
                </c:pt>
                <c:pt idx="104">
                  <c:v>40333</c:v>
                </c:pt>
                <c:pt idx="105">
                  <c:v>40336</c:v>
                </c:pt>
                <c:pt idx="106">
                  <c:v>40337</c:v>
                </c:pt>
                <c:pt idx="107">
                  <c:v>40338</c:v>
                </c:pt>
                <c:pt idx="108">
                  <c:v>40339</c:v>
                </c:pt>
                <c:pt idx="109">
                  <c:v>40340</c:v>
                </c:pt>
                <c:pt idx="110">
                  <c:v>40343</c:v>
                </c:pt>
                <c:pt idx="111">
                  <c:v>40344</c:v>
                </c:pt>
                <c:pt idx="112">
                  <c:v>40345</c:v>
                </c:pt>
                <c:pt idx="113">
                  <c:v>40346</c:v>
                </c:pt>
                <c:pt idx="114">
                  <c:v>40347</c:v>
                </c:pt>
                <c:pt idx="115">
                  <c:v>40350</c:v>
                </c:pt>
                <c:pt idx="116">
                  <c:v>40351</c:v>
                </c:pt>
                <c:pt idx="117">
                  <c:v>40352</c:v>
                </c:pt>
                <c:pt idx="118">
                  <c:v>40353</c:v>
                </c:pt>
                <c:pt idx="119">
                  <c:v>40354</c:v>
                </c:pt>
                <c:pt idx="120">
                  <c:v>40357</c:v>
                </c:pt>
                <c:pt idx="121">
                  <c:v>40358</c:v>
                </c:pt>
                <c:pt idx="122">
                  <c:v>40359</c:v>
                </c:pt>
                <c:pt idx="123">
                  <c:v>40360</c:v>
                </c:pt>
                <c:pt idx="124">
                  <c:v>40361</c:v>
                </c:pt>
                <c:pt idx="125">
                  <c:v>40364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40427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40449</c:v>
                </c:pt>
                <c:pt idx="185">
                  <c:v>40450</c:v>
                </c:pt>
                <c:pt idx="186">
                  <c:v>40451</c:v>
                </c:pt>
                <c:pt idx="187">
                  <c:v>40452</c:v>
                </c:pt>
                <c:pt idx="188">
                  <c:v>40455</c:v>
                </c:pt>
                <c:pt idx="189">
                  <c:v>40456</c:v>
                </c:pt>
                <c:pt idx="190">
                  <c:v>40457</c:v>
                </c:pt>
                <c:pt idx="191">
                  <c:v>40458</c:v>
                </c:pt>
                <c:pt idx="192">
                  <c:v>40459</c:v>
                </c:pt>
                <c:pt idx="193">
                  <c:v>40462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40493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40507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40536</c:v>
                </c:pt>
                <c:pt idx="248">
                  <c:v>40539</c:v>
                </c:pt>
                <c:pt idx="249">
                  <c:v>40540</c:v>
                </c:pt>
                <c:pt idx="250">
                  <c:v>40541</c:v>
                </c:pt>
                <c:pt idx="251">
                  <c:v>40542</c:v>
                </c:pt>
                <c:pt idx="252">
                  <c:v>40543</c:v>
                </c:pt>
                <c:pt idx="253">
                  <c:v>40546</c:v>
                </c:pt>
                <c:pt idx="254">
                  <c:v>40547</c:v>
                </c:pt>
                <c:pt idx="255">
                  <c:v>40548</c:v>
                </c:pt>
                <c:pt idx="256">
                  <c:v>40549</c:v>
                </c:pt>
                <c:pt idx="257">
                  <c:v>40550</c:v>
                </c:pt>
                <c:pt idx="258">
                  <c:v>40553</c:v>
                </c:pt>
                <c:pt idx="259">
                  <c:v>40554</c:v>
                </c:pt>
                <c:pt idx="260">
                  <c:v>40555</c:v>
                </c:pt>
                <c:pt idx="261">
                  <c:v>40556</c:v>
                </c:pt>
                <c:pt idx="262">
                  <c:v>40557</c:v>
                </c:pt>
                <c:pt idx="263">
                  <c:v>40560</c:v>
                </c:pt>
                <c:pt idx="264">
                  <c:v>40561</c:v>
                </c:pt>
                <c:pt idx="265">
                  <c:v>40562</c:v>
                </c:pt>
                <c:pt idx="266">
                  <c:v>40563</c:v>
                </c:pt>
                <c:pt idx="267">
                  <c:v>40564</c:v>
                </c:pt>
                <c:pt idx="268">
                  <c:v>40567</c:v>
                </c:pt>
                <c:pt idx="269">
                  <c:v>40568</c:v>
                </c:pt>
                <c:pt idx="270">
                  <c:v>40569</c:v>
                </c:pt>
                <c:pt idx="271">
                  <c:v>40570</c:v>
                </c:pt>
                <c:pt idx="272">
                  <c:v>40571</c:v>
                </c:pt>
                <c:pt idx="273">
                  <c:v>40574</c:v>
                </c:pt>
                <c:pt idx="274">
                  <c:v>40575</c:v>
                </c:pt>
                <c:pt idx="275">
                  <c:v>40576</c:v>
                </c:pt>
                <c:pt idx="276">
                  <c:v>40577</c:v>
                </c:pt>
                <c:pt idx="277">
                  <c:v>40578</c:v>
                </c:pt>
                <c:pt idx="278">
                  <c:v>40581</c:v>
                </c:pt>
                <c:pt idx="279">
                  <c:v>40582</c:v>
                </c:pt>
                <c:pt idx="280">
                  <c:v>40583</c:v>
                </c:pt>
                <c:pt idx="281">
                  <c:v>40584</c:v>
                </c:pt>
                <c:pt idx="282">
                  <c:v>40585</c:v>
                </c:pt>
                <c:pt idx="283">
                  <c:v>40588</c:v>
                </c:pt>
                <c:pt idx="284">
                  <c:v>40589</c:v>
                </c:pt>
                <c:pt idx="285">
                  <c:v>40590</c:v>
                </c:pt>
                <c:pt idx="286">
                  <c:v>40591</c:v>
                </c:pt>
                <c:pt idx="287">
                  <c:v>40592</c:v>
                </c:pt>
                <c:pt idx="288">
                  <c:v>40595</c:v>
                </c:pt>
                <c:pt idx="289">
                  <c:v>40596</c:v>
                </c:pt>
                <c:pt idx="290">
                  <c:v>40597</c:v>
                </c:pt>
                <c:pt idx="291">
                  <c:v>40598</c:v>
                </c:pt>
                <c:pt idx="292">
                  <c:v>40599</c:v>
                </c:pt>
                <c:pt idx="293">
                  <c:v>40602</c:v>
                </c:pt>
                <c:pt idx="294">
                  <c:v>40603</c:v>
                </c:pt>
                <c:pt idx="295">
                  <c:v>40604</c:v>
                </c:pt>
                <c:pt idx="296">
                  <c:v>40605</c:v>
                </c:pt>
                <c:pt idx="297">
                  <c:v>40606</c:v>
                </c:pt>
                <c:pt idx="298">
                  <c:v>40609</c:v>
                </c:pt>
                <c:pt idx="299">
                  <c:v>40610</c:v>
                </c:pt>
                <c:pt idx="300">
                  <c:v>40611</c:v>
                </c:pt>
                <c:pt idx="301">
                  <c:v>40612</c:v>
                </c:pt>
                <c:pt idx="302">
                  <c:v>40613</c:v>
                </c:pt>
                <c:pt idx="303">
                  <c:v>40616</c:v>
                </c:pt>
                <c:pt idx="304">
                  <c:v>40617</c:v>
                </c:pt>
                <c:pt idx="305">
                  <c:v>40618</c:v>
                </c:pt>
                <c:pt idx="306">
                  <c:v>40619</c:v>
                </c:pt>
                <c:pt idx="307">
                  <c:v>40620</c:v>
                </c:pt>
                <c:pt idx="308">
                  <c:v>40623</c:v>
                </c:pt>
                <c:pt idx="309">
                  <c:v>40624</c:v>
                </c:pt>
                <c:pt idx="310">
                  <c:v>40625</c:v>
                </c:pt>
                <c:pt idx="311">
                  <c:v>40626</c:v>
                </c:pt>
                <c:pt idx="312">
                  <c:v>40627</c:v>
                </c:pt>
                <c:pt idx="313">
                  <c:v>40630</c:v>
                </c:pt>
                <c:pt idx="314">
                  <c:v>40631</c:v>
                </c:pt>
                <c:pt idx="315">
                  <c:v>40632</c:v>
                </c:pt>
                <c:pt idx="316">
                  <c:v>40633</c:v>
                </c:pt>
                <c:pt idx="317">
                  <c:v>40634</c:v>
                </c:pt>
                <c:pt idx="318">
                  <c:v>40637</c:v>
                </c:pt>
                <c:pt idx="319">
                  <c:v>40638</c:v>
                </c:pt>
                <c:pt idx="320">
                  <c:v>40639</c:v>
                </c:pt>
                <c:pt idx="321">
                  <c:v>40640</c:v>
                </c:pt>
                <c:pt idx="322">
                  <c:v>40641</c:v>
                </c:pt>
                <c:pt idx="323">
                  <c:v>40644</c:v>
                </c:pt>
                <c:pt idx="324">
                  <c:v>40645</c:v>
                </c:pt>
                <c:pt idx="325">
                  <c:v>40646</c:v>
                </c:pt>
                <c:pt idx="326">
                  <c:v>40647</c:v>
                </c:pt>
                <c:pt idx="327">
                  <c:v>40648</c:v>
                </c:pt>
                <c:pt idx="328">
                  <c:v>40651</c:v>
                </c:pt>
                <c:pt idx="329">
                  <c:v>40652</c:v>
                </c:pt>
                <c:pt idx="330">
                  <c:v>40653</c:v>
                </c:pt>
                <c:pt idx="331">
                  <c:v>40654</c:v>
                </c:pt>
                <c:pt idx="332">
                  <c:v>40659</c:v>
                </c:pt>
                <c:pt idx="333">
                  <c:v>40660</c:v>
                </c:pt>
                <c:pt idx="334">
                  <c:v>40661</c:v>
                </c:pt>
                <c:pt idx="335">
                  <c:v>40662</c:v>
                </c:pt>
                <c:pt idx="336">
                  <c:v>40665</c:v>
                </c:pt>
                <c:pt idx="337">
                  <c:v>40666</c:v>
                </c:pt>
                <c:pt idx="338">
                  <c:v>40667</c:v>
                </c:pt>
                <c:pt idx="339">
                  <c:v>40668</c:v>
                </c:pt>
                <c:pt idx="340">
                  <c:v>40669</c:v>
                </c:pt>
                <c:pt idx="341">
                  <c:v>40672</c:v>
                </c:pt>
                <c:pt idx="342">
                  <c:v>40673</c:v>
                </c:pt>
                <c:pt idx="343">
                  <c:v>40674</c:v>
                </c:pt>
                <c:pt idx="344">
                  <c:v>40675</c:v>
                </c:pt>
                <c:pt idx="345">
                  <c:v>40676</c:v>
                </c:pt>
                <c:pt idx="346">
                  <c:v>40679</c:v>
                </c:pt>
                <c:pt idx="347">
                  <c:v>40680</c:v>
                </c:pt>
                <c:pt idx="348">
                  <c:v>40681</c:v>
                </c:pt>
                <c:pt idx="349">
                  <c:v>40682</c:v>
                </c:pt>
                <c:pt idx="350">
                  <c:v>40683</c:v>
                </c:pt>
                <c:pt idx="351">
                  <c:v>40686</c:v>
                </c:pt>
                <c:pt idx="352">
                  <c:v>40687</c:v>
                </c:pt>
                <c:pt idx="353">
                  <c:v>40688</c:v>
                </c:pt>
                <c:pt idx="354">
                  <c:v>40689</c:v>
                </c:pt>
                <c:pt idx="355">
                  <c:v>40690</c:v>
                </c:pt>
                <c:pt idx="356">
                  <c:v>40693</c:v>
                </c:pt>
                <c:pt idx="357">
                  <c:v>40694</c:v>
                </c:pt>
                <c:pt idx="358">
                  <c:v>40695</c:v>
                </c:pt>
                <c:pt idx="359">
                  <c:v>40696</c:v>
                </c:pt>
                <c:pt idx="360">
                  <c:v>40697</c:v>
                </c:pt>
                <c:pt idx="361">
                  <c:v>40700</c:v>
                </c:pt>
                <c:pt idx="362">
                  <c:v>40701</c:v>
                </c:pt>
                <c:pt idx="363">
                  <c:v>40702</c:v>
                </c:pt>
                <c:pt idx="364">
                  <c:v>40703</c:v>
                </c:pt>
                <c:pt idx="365">
                  <c:v>40704</c:v>
                </c:pt>
                <c:pt idx="366">
                  <c:v>40707</c:v>
                </c:pt>
                <c:pt idx="367">
                  <c:v>40708</c:v>
                </c:pt>
                <c:pt idx="368">
                  <c:v>40709</c:v>
                </c:pt>
                <c:pt idx="369">
                  <c:v>40710</c:v>
                </c:pt>
                <c:pt idx="370">
                  <c:v>40711</c:v>
                </c:pt>
                <c:pt idx="371">
                  <c:v>40714</c:v>
                </c:pt>
                <c:pt idx="372">
                  <c:v>40715</c:v>
                </c:pt>
                <c:pt idx="373">
                  <c:v>40716</c:v>
                </c:pt>
                <c:pt idx="374">
                  <c:v>40717</c:v>
                </c:pt>
                <c:pt idx="375">
                  <c:v>40718</c:v>
                </c:pt>
                <c:pt idx="376">
                  <c:v>40721</c:v>
                </c:pt>
                <c:pt idx="377">
                  <c:v>40722</c:v>
                </c:pt>
                <c:pt idx="378">
                  <c:v>40723</c:v>
                </c:pt>
                <c:pt idx="379">
                  <c:v>40724</c:v>
                </c:pt>
                <c:pt idx="380">
                  <c:v>40725</c:v>
                </c:pt>
                <c:pt idx="381">
                  <c:v>40728</c:v>
                </c:pt>
                <c:pt idx="382">
                  <c:v>40729</c:v>
                </c:pt>
                <c:pt idx="383">
                  <c:v>40730</c:v>
                </c:pt>
                <c:pt idx="384">
                  <c:v>40731</c:v>
                </c:pt>
                <c:pt idx="385">
                  <c:v>40732</c:v>
                </c:pt>
                <c:pt idx="386">
                  <c:v>40735</c:v>
                </c:pt>
                <c:pt idx="387">
                  <c:v>40736</c:v>
                </c:pt>
                <c:pt idx="388">
                  <c:v>40737</c:v>
                </c:pt>
                <c:pt idx="389">
                  <c:v>40738</c:v>
                </c:pt>
                <c:pt idx="390">
                  <c:v>40739</c:v>
                </c:pt>
                <c:pt idx="391">
                  <c:v>40742</c:v>
                </c:pt>
                <c:pt idx="392">
                  <c:v>40743</c:v>
                </c:pt>
                <c:pt idx="393">
                  <c:v>40744</c:v>
                </c:pt>
                <c:pt idx="394">
                  <c:v>40745</c:v>
                </c:pt>
                <c:pt idx="395">
                  <c:v>40746</c:v>
                </c:pt>
                <c:pt idx="396">
                  <c:v>40749</c:v>
                </c:pt>
                <c:pt idx="397">
                  <c:v>40750</c:v>
                </c:pt>
                <c:pt idx="398">
                  <c:v>40751</c:v>
                </c:pt>
                <c:pt idx="399">
                  <c:v>40752</c:v>
                </c:pt>
                <c:pt idx="400">
                  <c:v>40753</c:v>
                </c:pt>
                <c:pt idx="401">
                  <c:v>40756</c:v>
                </c:pt>
                <c:pt idx="402">
                  <c:v>40757</c:v>
                </c:pt>
                <c:pt idx="403">
                  <c:v>40758</c:v>
                </c:pt>
                <c:pt idx="404">
                  <c:v>40759</c:v>
                </c:pt>
                <c:pt idx="405">
                  <c:v>40760</c:v>
                </c:pt>
                <c:pt idx="406">
                  <c:v>40763</c:v>
                </c:pt>
                <c:pt idx="407">
                  <c:v>40764</c:v>
                </c:pt>
                <c:pt idx="408">
                  <c:v>40765</c:v>
                </c:pt>
                <c:pt idx="409">
                  <c:v>40766</c:v>
                </c:pt>
                <c:pt idx="410">
                  <c:v>40767</c:v>
                </c:pt>
                <c:pt idx="411">
                  <c:v>40770</c:v>
                </c:pt>
                <c:pt idx="412">
                  <c:v>40771</c:v>
                </c:pt>
                <c:pt idx="413">
                  <c:v>40772</c:v>
                </c:pt>
                <c:pt idx="414">
                  <c:v>40773</c:v>
                </c:pt>
                <c:pt idx="415">
                  <c:v>40774</c:v>
                </c:pt>
                <c:pt idx="416">
                  <c:v>40777</c:v>
                </c:pt>
                <c:pt idx="417">
                  <c:v>40778</c:v>
                </c:pt>
                <c:pt idx="418">
                  <c:v>40779</c:v>
                </c:pt>
                <c:pt idx="419">
                  <c:v>40780</c:v>
                </c:pt>
                <c:pt idx="420">
                  <c:v>40781</c:v>
                </c:pt>
                <c:pt idx="421">
                  <c:v>40784</c:v>
                </c:pt>
                <c:pt idx="422">
                  <c:v>40785</c:v>
                </c:pt>
                <c:pt idx="423">
                  <c:v>40786</c:v>
                </c:pt>
                <c:pt idx="424">
                  <c:v>40787</c:v>
                </c:pt>
                <c:pt idx="425">
                  <c:v>40788</c:v>
                </c:pt>
                <c:pt idx="426">
                  <c:v>40791</c:v>
                </c:pt>
                <c:pt idx="427">
                  <c:v>40792</c:v>
                </c:pt>
                <c:pt idx="428">
                  <c:v>40793</c:v>
                </c:pt>
                <c:pt idx="429">
                  <c:v>40794</c:v>
                </c:pt>
                <c:pt idx="430">
                  <c:v>40795</c:v>
                </c:pt>
                <c:pt idx="431">
                  <c:v>40798</c:v>
                </c:pt>
                <c:pt idx="432">
                  <c:v>40799</c:v>
                </c:pt>
                <c:pt idx="433">
                  <c:v>40800</c:v>
                </c:pt>
                <c:pt idx="434">
                  <c:v>40801</c:v>
                </c:pt>
                <c:pt idx="435">
                  <c:v>40802</c:v>
                </c:pt>
                <c:pt idx="436">
                  <c:v>40805</c:v>
                </c:pt>
                <c:pt idx="437">
                  <c:v>40806</c:v>
                </c:pt>
                <c:pt idx="438">
                  <c:v>40807</c:v>
                </c:pt>
                <c:pt idx="439">
                  <c:v>40808</c:v>
                </c:pt>
                <c:pt idx="440">
                  <c:v>40809</c:v>
                </c:pt>
                <c:pt idx="441">
                  <c:v>40812</c:v>
                </c:pt>
                <c:pt idx="442">
                  <c:v>40813</c:v>
                </c:pt>
                <c:pt idx="443">
                  <c:v>40814</c:v>
                </c:pt>
                <c:pt idx="444">
                  <c:v>40815</c:v>
                </c:pt>
                <c:pt idx="445">
                  <c:v>40816</c:v>
                </c:pt>
                <c:pt idx="446">
                  <c:v>40819</c:v>
                </c:pt>
                <c:pt idx="447">
                  <c:v>40820</c:v>
                </c:pt>
                <c:pt idx="448">
                  <c:v>40821</c:v>
                </c:pt>
                <c:pt idx="449">
                  <c:v>40822</c:v>
                </c:pt>
                <c:pt idx="450">
                  <c:v>40823</c:v>
                </c:pt>
                <c:pt idx="451">
                  <c:v>40826</c:v>
                </c:pt>
                <c:pt idx="452">
                  <c:v>40827</c:v>
                </c:pt>
                <c:pt idx="453">
                  <c:v>40828</c:v>
                </c:pt>
                <c:pt idx="454">
                  <c:v>40829</c:v>
                </c:pt>
                <c:pt idx="455">
                  <c:v>40830</c:v>
                </c:pt>
                <c:pt idx="456">
                  <c:v>40833</c:v>
                </c:pt>
                <c:pt idx="457">
                  <c:v>40834</c:v>
                </c:pt>
                <c:pt idx="458">
                  <c:v>40835</c:v>
                </c:pt>
                <c:pt idx="459">
                  <c:v>40836</c:v>
                </c:pt>
                <c:pt idx="460">
                  <c:v>40837</c:v>
                </c:pt>
                <c:pt idx="461">
                  <c:v>40840</c:v>
                </c:pt>
                <c:pt idx="462">
                  <c:v>40841</c:v>
                </c:pt>
                <c:pt idx="463">
                  <c:v>40842</c:v>
                </c:pt>
                <c:pt idx="464">
                  <c:v>40843</c:v>
                </c:pt>
                <c:pt idx="465">
                  <c:v>40844</c:v>
                </c:pt>
                <c:pt idx="466">
                  <c:v>40847</c:v>
                </c:pt>
                <c:pt idx="467">
                  <c:v>40848</c:v>
                </c:pt>
                <c:pt idx="468">
                  <c:v>40849</c:v>
                </c:pt>
                <c:pt idx="469">
                  <c:v>40850</c:v>
                </c:pt>
                <c:pt idx="470">
                  <c:v>40851</c:v>
                </c:pt>
                <c:pt idx="471">
                  <c:v>40854</c:v>
                </c:pt>
                <c:pt idx="472">
                  <c:v>40855</c:v>
                </c:pt>
                <c:pt idx="473">
                  <c:v>40856</c:v>
                </c:pt>
                <c:pt idx="474">
                  <c:v>40857</c:v>
                </c:pt>
                <c:pt idx="475">
                  <c:v>40858</c:v>
                </c:pt>
                <c:pt idx="476">
                  <c:v>40861</c:v>
                </c:pt>
                <c:pt idx="477">
                  <c:v>40862</c:v>
                </c:pt>
                <c:pt idx="478">
                  <c:v>40863</c:v>
                </c:pt>
                <c:pt idx="479">
                  <c:v>40864</c:v>
                </c:pt>
                <c:pt idx="480">
                  <c:v>40865</c:v>
                </c:pt>
                <c:pt idx="481">
                  <c:v>40868</c:v>
                </c:pt>
                <c:pt idx="482">
                  <c:v>40869</c:v>
                </c:pt>
                <c:pt idx="483">
                  <c:v>40870</c:v>
                </c:pt>
                <c:pt idx="484">
                  <c:v>40871</c:v>
                </c:pt>
                <c:pt idx="485">
                  <c:v>40872</c:v>
                </c:pt>
                <c:pt idx="486">
                  <c:v>40875</c:v>
                </c:pt>
                <c:pt idx="487">
                  <c:v>40876</c:v>
                </c:pt>
                <c:pt idx="488">
                  <c:v>40877</c:v>
                </c:pt>
                <c:pt idx="489">
                  <c:v>40878</c:v>
                </c:pt>
                <c:pt idx="490">
                  <c:v>40879</c:v>
                </c:pt>
                <c:pt idx="491">
                  <c:v>40882</c:v>
                </c:pt>
                <c:pt idx="492">
                  <c:v>40883</c:v>
                </c:pt>
                <c:pt idx="493">
                  <c:v>40884</c:v>
                </c:pt>
                <c:pt idx="494">
                  <c:v>40885</c:v>
                </c:pt>
                <c:pt idx="495">
                  <c:v>40886</c:v>
                </c:pt>
                <c:pt idx="496">
                  <c:v>40889</c:v>
                </c:pt>
                <c:pt idx="497">
                  <c:v>40890</c:v>
                </c:pt>
                <c:pt idx="498">
                  <c:v>40891</c:v>
                </c:pt>
                <c:pt idx="499">
                  <c:v>40892</c:v>
                </c:pt>
                <c:pt idx="500">
                  <c:v>40893</c:v>
                </c:pt>
                <c:pt idx="501">
                  <c:v>40896</c:v>
                </c:pt>
                <c:pt idx="502">
                  <c:v>40897</c:v>
                </c:pt>
                <c:pt idx="503">
                  <c:v>40898</c:v>
                </c:pt>
                <c:pt idx="504">
                  <c:v>40899</c:v>
                </c:pt>
                <c:pt idx="505">
                  <c:v>40900</c:v>
                </c:pt>
                <c:pt idx="506">
                  <c:v>40904</c:v>
                </c:pt>
                <c:pt idx="507">
                  <c:v>40905</c:v>
                </c:pt>
                <c:pt idx="508">
                  <c:v>40906</c:v>
                </c:pt>
                <c:pt idx="509">
                  <c:v>40907</c:v>
                </c:pt>
                <c:pt idx="510">
                  <c:v>40910</c:v>
                </c:pt>
                <c:pt idx="511">
                  <c:v>40911</c:v>
                </c:pt>
                <c:pt idx="512">
                  <c:v>40912</c:v>
                </c:pt>
                <c:pt idx="513">
                  <c:v>40913</c:v>
                </c:pt>
                <c:pt idx="514">
                  <c:v>40914</c:v>
                </c:pt>
                <c:pt idx="515">
                  <c:v>40917</c:v>
                </c:pt>
                <c:pt idx="516">
                  <c:v>40918</c:v>
                </c:pt>
                <c:pt idx="517">
                  <c:v>40919</c:v>
                </c:pt>
                <c:pt idx="518">
                  <c:v>40920</c:v>
                </c:pt>
                <c:pt idx="519">
                  <c:v>40921</c:v>
                </c:pt>
                <c:pt idx="520">
                  <c:v>40924</c:v>
                </c:pt>
                <c:pt idx="521">
                  <c:v>40925</c:v>
                </c:pt>
                <c:pt idx="522">
                  <c:v>40926</c:v>
                </c:pt>
                <c:pt idx="523">
                  <c:v>40927</c:v>
                </c:pt>
                <c:pt idx="524">
                  <c:v>40928</c:v>
                </c:pt>
                <c:pt idx="525">
                  <c:v>40931</c:v>
                </c:pt>
                <c:pt idx="526">
                  <c:v>40932</c:v>
                </c:pt>
                <c:pt idx="527">
                  <c:v>40933</c:v>
                </c:pt>
                <c:pt idx="528">
                  <c:v>40934</c:v>
                </c:pt>
                <c:pt idx="529">
                  <c:v>40935</c:v>
                </c:pt>
                <c:pt idx="530">
                  <c:v>40938</c:v>
                </c:pt>
                <c:pt idx="531">
                  <c:v>40939</c:v>
                </c:pt>
                <c:pt idx="532">
                  <c:v>40940</c:v>
                </c:pt>
                <c:pt idx="533">
                  <c:v>40941</c:v>
                </c:pt>
                <c:pt idx="534">
                  <c:v>40942</c:v>
                </c:pt>
                <c:pt idx="535">
                  <c:v>40945</c:v>
                </c:pt>
                <c:pt idx="536">
                  <c:v>40946</c:v>
                </c:pt>
                <c:pt idx="537">
                  <c:v>40947</c:v>
                </c:pt>
                <c:pt idx="538">
                  <c:v>40948</c:v>
                </c:pt>
                <c:pt idx="539">
                  <c:v>40949</c:v>
                </c:pt>
                <c:pt idx="540">
                  <c:v>40952</c:v>
                </c:pt>
                <c:pt idx="541">
                  <c:v>40953</c:v>
                </c:pt>
                <c:pt idx="542">
                  <c:v>40954</c:v>
                </c:pt>
                <c:pt idx="543">
                  <c:v>40955</c:v>
                </c:pt>
                <c:pt idx="544">
                  <c:v>40956</c:v>
                </c:pt>
                <c:pt idx="545">
                  <c:v>40959</c:v>
                </c:pt>
                <c:pt idx="546">
                  <c:v>40960</c:v>
                </c:pt>
                <c:pt idx="547">
                  <c:v>40961</c:v>
                </c:pt>
                <c:pt idx="548">
                  <c:v>40962</c:v>
                </c:pt>
                <c:pt idx="549">
                  <c:v>40963</c:v>
                </c:pt>
                <c:pt idx="550">
                  <c:v>40966</c:v>
                </c:pt>
                <c:pt idx="551">
                  <c:v>40967</c:v>
                </c:pt>
                <c:pt idx="552">
                  <c:v>40968</c:v>
                </c:pt>
                <c:pt idx="553">
                  <c:v>40969</c:v>
                </c:pt>
                <c:pt idx="554">
                  <c:v>40970</c:v>
                </c:pt>
                <c:pt idx="555">
                  <c:v>40973</c:v>
                </c:pt>
                <c:pt idx="556">
                  <c:v>40974</c:v>
                </c:pt>
                <c:pt idx="557">
                  <c:v>40975</c:v>
                </c:pt>
                <c:pt idx="558">
                  <c:v>40976</c:v>
                </c:pt>
                <c:pt idx="559">
                  <c:v>40977</c:v>
                </c:pt>
                <c:pt idx="560">
                  <c:v>40980</c:v>
                </c:pt>
                <c:pt idx="561">
                  <c:v>40981</c:v>
                </c:pt>
                <c:pt idx="562">
                  <c:v>40982</c:v>
                </c:pt>
                <c:pt idx="563">
                  <c:v>40983</c:v>
                </c:pt>
                <c:pt idx="564">
                  <c:v>40984</c:v>
                </c:pt>
                <c:pt idx="565">
                  <c:v>40987</c:v>
                </c:pt>
                <c:pt idx="566">
                  <c:v>40988</c:v>
                </c:pt>
                <c:pt idx="567">
                  <c:v>40989</c:v>
                </c:pt>
                <c:pt idx="568">
                  <c:v>40990</c:v>
                </c:pt>
                <c:pt idx="569">
                  <c:v>40991</c:v>
                </c:pt>
                <c:pt idx="570">
                  <c:v>40994</c:v>
                </c:pt>
                <c:pt idx="571">
                  <c:v>40995</c:v>
                </c:pt>
                <c:pt idx="572">
                  <c:v>40996</c:v>
                </c:pt>
                <c:pt idx="573">
                  <c:v>40997</c:v>
                </c:pt>
                <c:pt idx="574">
                  <c:v>40998</c:v>
                </c:pt>
                <c:pt idx="575">
                  <c:v>41001</c:v>
                </c:pt>
                <c:pt idx="576">
                  <c:v>41002</c:v>
                </c:pt>
                <c:pt idx="577">
                  <c:v>41003</c:v>
                </c:pt>
                <c:pt idx="578">
                  <c:v>41004</c:v>
                </c:pt>
                <c:pt idx="579">
                  <c:v>41009</c:v>
                </c:pt>
                <c:pt idx="580">
                  <c:v>41010</c:v>
                </c:pt>
                <c:pt idx="581">
                  <c:v>41011</c:v>
                </c:pt>
                <c:pt idx="582">
                  <c:v>41012</c:v>
                </c:pt>
                <c:pt idx="583">
                  <c:v>41015</c:v>
                </c:pt>
                <c:pt idx="584">
                  <c:v>41016</c:v>
                </c:pt>
                <c:pt idx="585">
                  <c:v>41017</c:v>
                </c:pt>
                <c:pt idx="586">
                  <c:v>41018</c:v>
                </c:pt>
                <c:pt idx="587">
                  <c:v>41019</c:v>
                </c:pt>
                <c:pt idx="588">
                  <c:v>41022</c:v>
                </c:pt>
                <c:pt idx="589">
                  <c:v>41023</c:v>
                </c:pt>
                <c:pt idx="590">
                  <c:v>41024</c:v>
                </c:pt>
                <c:pt idx="591">
                  <c:v>41025</c:v>
                </c:pt>
                <c:pt idx="592">
                  <c:v>41026</c:v>
                </c:pt>
                <c:pt idx="593">
                  <c:v>41029</c:v>
                </c:pt>
                <c:pt idx="594">
                  <c:v>41031</c:v>
                </c:pt>
                <c:pt idx="595">
                  <c:v>41032</c:v>
                </c:pt>
                <c:pt idx="596">
                  <c:v>41033</c:v>
                </c:pt>
                <c:pt idx="597">
                  <c:v>41036</c:v>
                </c:pt>
                <c:pt idx="598">
                  <c:v>41037</c:v>
                </c:pt>
                <c:pt idx="599">
                  <c:v>41038</c:v>
                </c:pt>
                <c:pt idx="600">
                  <c:v>41039</c:v>
                </c:pt>
                <c:pt idx="601">
                  <c:v>41040</c:v>
                </c:pt>
                <c:pt idx="602">
                  <c:v>41043</c:v>
                </c:pt>
                <c:pt idx="603">
                  <c:v>41044</c:v>
                </c:pt>
                <c:pt idx="604">
                  <c:v>41045</c:v>
                </c:pt>
                <c:pt idx="605">
                  <c:v>41046</c:v>
                </c:pt>
                <c:pt idx="606">
                  <c:v>41047</c:v>
                </c:pt>
                <c:pt idx="607">
                  <c:v>41050</c:v>
                </c:pt>
                <c:pt idx="608">
                  <c:v>41051</c:v>
                </c:pt>
                <c:pt idx="609">
                  <c:v>41052</c:v>
                </c:pt>
                <c:pt idx="610">
                  <c:v>41053</c:v>
                </c:pt>
                <c:pt idx="611">
                  <c:v>41054</c:v>
                </c:pt>
                <c:pt idx="612">
                  <c:v>41057</c:v>
                </c:pt>
                <c:pt idx="613">
                  <c:v>41058</c:v>
                </c:pt>
                <c:pt idx="614">
                  <c:v>41059</c:v>
                </c:pt>
                <c:pt idx="615">
                  <c:v>41060</c:v>
                </c:pt>
                <c:pt idx="616">
                  <c:v>41061</c:v>
                </c:pt>
                <c:pt idx="617">
                  <c:v>41064</c:v>
                </c:pt>
                <c:pt idx="618">
                  <c:v>41065</c:v>
                </c:pt>
                <c:pt idx="619">
                  <c:v>41066</c:v>
                </c:pt>
                <c:pt idx="620">
                  <c:v>41067</c:v>
                </c:pt>
                <c:pt idx="621">
                  <c:v>41068</c:v>
                </c:pt>
                <c:pt idx="622">
                  <c:v>41071</c:v>
                </c:pt>
                <c:pt idx="623">
                  <c:v>41072</c:v>
                </c:pt>
                <c:pt idx="624">
                  <c:v>41073</c:v>
                </c:pt>
                <c:pt idx="625">
                  <c:v>41074</c:v>
                </c:pt>
                <c:pt idx="626">
                  <c:v>41075</c:v>
                </c:pt>
                <c:pt idx="627">
                  <c:v>41078</c:v>
                </c:pt>
                <c:pt idx="628">
                  <c:v>41079</c:v>
                </c:pt>
                <c:pt idx="629">
                  <c:v>41080</c:v>
                </c:pt>
                <c:pt idx="630">
                  <c:v>41081</c:v>
                </c:pt>
                <c:pt idx="631">
                  <c:v>41082</c:v>
                </c:pt>
                <c:pt idx="632">
                  <c:v>41085</c:v>
                </c:pt>
                <c:pt idx="633">
                  <c:v>41086</c:v>
                </c:pt>
                <c:pt idx="634">
                  <c:v>41087</c:v>
                </c:pt>
                <c:pt idx="635">
                  <c:v>41088</c:v>
                </c:pt>
                <c:pt idx="636">
                  <c:v>41089</c:v>
                </c:pt>
                <c:pt idx="637">
                  <c:v>41092</c:v>
                </c:pt>
                <c:pt idx="638">
                  <c:v>41093</c:v>
                </c:pt>
                <c:pt idx="639">
                  <c:v>41094</c:v>
                </c:pt>
                <c:pt idx="640">
                  <c:v>41095</c:v>
                </c:pt>
                <c:pt idx="641">
                  <c:v>41096</c:v>
                </c:pt>
                <c:pt idx="642">
                  <c:v>41099</c:v>
                </c:pt>
                <c:pt idx="643">
                  <c:v>41100</c:v>
                </c:pt>
                <c:pt idx="644">
                  <c:v>41101</c:v>
                </c:pt>
                <c:pt idx="645">
                  <c:v>41102</c:v>
                </c:pt>
                <c:pt idx="646">
                  <c:v>41103</c:v>
                </c:pt>
                <c:pt idx="647">
                  <c:v>41106</c:v>
                </c:pt>
                <c:pt idx="648">
                  <c:v>41107</c:v>
                </c:pt>
                <c:pt idx="649">
                  <c:v>41108</c:v>
                </c:pt>
                <c:pt idx="650">
                  <c:v>41109</c:v>
                </c:pt>
                <c:pt idx="651">
                  <c:v>41110</c:v>
                </c:pt>
                <c:pt idx="652">
                  <c:v>41113</c:v>
                </c:pt>
                <c:pt idx="653">
                  <c:v>41114</c:v>
                </c:pt>
                <c:pt idx="654">
                  <c:v>41115</c:v>
                </c:pt>
                <c:pt idx="655">
                  <c:v>41116</c:v>
                </c:pt>
                <c:pt idx="656">
                  <c:v>41117</c:v>
                </c:pt>
                <c:pt idx="657">
                  <c:v>41120</c:v>
                </c:pt>
                <c:pt idx="658">
                  <c:v>41121</c:v>
                </c:pt>
                <c:pt idx="659">
                  <c:v>41122</c:v>
                </c:pt>
                <c:pt idx="660">
                  <c:v>41123</c:v>
                </c:pt>
                <c:pt idx="661">
                  <c:v>41124</c:v>
                </c:pt>
                <c:pt idx="662">
                  <c:v>41127</c:v>
                </c:pt>
                <c:pt idx="663">
                  <c:v>41128</c:v>
                </c:pt>
                <c:pt idx="664">
                  <c:v>41129</c:v>
                </c:pt>
                <c:pt idx="665">
                  <c:v>41130</c:v>
                </c:pt>
                <c:pt idx="666">
                  <c:v>41131</c:v>
                </c:pt>
                <c:pt idx="667">
                  <c:v>41134</c:v>
                </c:pt>
                <c:pt idx="668">
                  <c:v>41135</c:v>
                </c:pt>
                <c:pt idx="669">
                  <c:v>41136</c:v>
                </c:pt>
                <c:pt idx="670">
                  <c:v>41137</c:v>
                </c:pt>
                <c:pt idx="671">
                  <c:v>41138</c:v>
                </c:pt>
                <c:pt idx="672">
                  <c:v>41141</c:v>
                </c:pt>
                <c:pt idx="673">
                  <c:v>41142</c:v>
                </c:pt>
                <c:pt idx="674">
                  <c:v>41143</c:v>
                </c:pt>
                <c:pt idx="675">
                  <c:v>41144</c:v>
                </c:pt>
                <c:pt idx="676">
                  <c:v>41145</c:v>
                </c:pt>
                <c:pt idx="677">
                  <c:v>41148</c:v>
                </c:pt>
                <c:pt idx="678">
                  <c:v>41149</c:v>
                </c:pt>
                <c:pt idx="679">
                  <c:v>41150</c:v>
                </c:pt>
                <c:pt idx="680">
                  <c:v>41151</c:v>
                </c:pt>
                <c:pt idx="681">
                  <c:v>41152</c:v>
                </c:pt>
                <c:pt idx="682">
                  <c:v>41155</c:v>
                </c:pt>
                <c:pt idx="683">
                  <c:v>41156</c:v>
                </c:pt>
                <c:pt idx="684">
                  <c:v>41157</c:v>
                </c:pt>
                <c:pt idx="685">
                  <c:v>41158</c:v>
                </c:pt>
                <c:pt idx="686">
                  <c:v>41159</c:v>
                </c:pt>
                <c:pt idx="687">
                  <c:v>41162</c:v>
                </c:pt>
                <c:pt idx="688">
                  <c:v>41163</c:v>
                </c:pt>
                <c:pt idx="689">
                  <c:v>41164</c:v>
                </c:pt>
                <c:pt idx="690">
                  <c:v>41165</c:v>
                </c:pt>
                <c:pt idx="691">
                  <c:v>41166</c:v>
                </c:pt>
                <c:pt idx="692">
                  <c:v>41169</c:v>
                </c:pt>
                <c:pt idx="693">
                  <c:v>41170</c:v>
                </c:pt>
                <c:pt idx="694">
                  <c:v>41171</c:v>
                </c:pt>
                <c:pt idx="695">
                  <c:v>41172</c:v>
                </c:pt>
                <c:pt idx="696">
                  <c:v>41173</c:v>
                </c:pt>
                <c:pt idx="697">
                  <c:v>41176</c:v>
                </c:pt>
                <c:pt idx="698">
                  <c:v>41177</c:v>
                </c:pt>
                <c:pt idx="699">
                  <c:v>41178</c:v>
                </c:pt>
                <c:pt idx="700">
                  <c:v>41179</c:v>
                </c:pt>
                <c:pt idx="701">
                  <c:v>41180</c:v>
                </c:pt>
                <c:pt idx="702">
                  <c:v>41183</c:v>
                </c:pt>
                <c:pt idx="703">
                  <c:v>41184</c:v>
                </c:pt>
                <c:pt idx="704">
                  <c:v>41185</c:v>
                </c:pt>
                <c:pt idx="705">
                  <c:v>41186</c:v>
                </c:pt>
                <c:pt idx="706">
                  <c:v>41187</c:v>
                </c:pt>
                <c:pt idx="707">
                  <c:v>41190</c:v>
                </c:pt>
                <c:pt idx="708">
                  <c:v>41191</c:v>
                </c:pt>
                <c:pt idx="709">
                  <c:v>41192</c:v>
                </c:pt>
                <c:pt idx="710">
                  <c:v>41193</c:v>
                </c:pt>
                <c:pt idx="711">
                  <c:v>41194</c:v>
                </c:pt>
                <c:pt idx="712">
                  <c:v>41197</c:v>
                </c:pt>
                <c:pt idx="713">
                  <c:v>41198</c:v>
                </c:pt>
                <c:pt idx="714">
                  <c:v>41199</c:v>
                </c:pt>
                <c:pt idx="715">
                  <c:v>41200</c:v>
                </c:pt>
                <c:pt idx="716">
                  <c:v>41201</c:v>
                </c:pt>
                <c:pt idx="717">
                  <c:v>41204</c:v>
                </c:pt>
                <c:pt idx="718">
                  <c:v>41205</c:v>
                </c:pt>
                <c:pt idx="719">
                  <c:v>41206</c:v>
                </c:pt>
                <c:pt idx="720">
                  <c:v>41207</c:v>
                </c:pt>
                <c:pt idx="721">
                  <c:v>41208</c:v>
                </c:pt>
                <c:pt idx="722">
                  <c:v>41211</c:v>
                </c:pt>
                <c:pt idx="723">
                  <c:v>41212</c:v>
                </c:pt>
                <c:pt idx="724">
                  <c:v>41213</c:v>
                </c:pt>
                <c:pt idx="725">
                  <c:v>41214</c:v>
                </c:pt>
                <c:pt idx="726">
                  <c:v>41215</c:v>
                </c:pt>
                <c:pt idx="727">
                  <c:v>41218</c:v>
                </c:pt>
                <c:pt idx="728">
                  <c:v>41219</c:v>
                </c:pt>
                <c:pt idx="729">
                  <c:v>41220</c:v>
                </c:pt>
                <c:pt idx="730">
                  <c:v>41221</c:v>
                </c:pt>
                <c:pt idx="731">
                  <c:v>41222</c:v>
                </c:pt>
                <c:pt idx="732">
                  <c:v>41225</c:v>
                </c:pt>
                <c:pt idx="733">
                  <c:v>41226</c:v>
                </c:pt>
                <c:pt idx="734">
                  <c:v>41227</c:v>
                </c:pt>
                <c:pt idx="735">
                  <c:v>41228</c:v>
                </c:pt>
                <c:pt idx="736">
                  <c:v>41229</c:v>
                </c:pt>
                <c:pt idx="737">
                  <c:v>41232</c:v>
                </c:pt>
                <c:pt idx="738">
                  <c:v>41233</c:v>
                </c:pt>
                <c:pt idx="739">
                  <c:v>41234</c:v>
                </c:pt>
                <c:pt idx="740">
                  <c:v>41235</c:v>
                </c:pt>
                <c:pt idx="741">
                  <c:v>41236</c:v>
                </c:pt>
                <c:pt idx="742">
                  <c:v>41239</c:v>
                </c:pt>
                <c:pt idx="743">
                  <c:v>41240</c:v>
                </c:pt>
                <c:pt idx="744">
                  <c:v>41241</c:v>
                </c:pt>
                <c:pt idx="745">
                  <c:v>41242</c:v>
                </c:pt>
                <c:pt idx="746">
                  <c:v>41243</c:v>
                </c:pt>
                <c:pt idx="747">
                  <c:v>41246</c:v>
                </c:pt>
                <c:pt idx="748">
                  <c:v>41247</c:v>
                </c:pt>
                <c:pt idx="749">
                  <c:v>41248</c:v>
                </c:pt>
                <c:pt idx="750">
                  <c:v>41249</c:v>
                </c:pt>
                <c:pt idx="751">
                  <c:v>41250</c:v>
                </c:pt>
                <c:pt idx="752">
                  <c:v>41253</c:v>
                </c:pt>
                <c:pt idx="753">
                  <c:v>41254</c:v>
                </c:pt>
                <c:pt idx="754">
                  <c:v>41255</c:v>
                </c:pt>
                <c:pt idx="755">
                  <c:v>41256</c:v>
                </c:pt>
                <c:pt idx="756">
                  <c:v>41257</c:v>
                </c:pt>
                <c:pt idx="757">
                  <c:v>41260</c:v>
                </c:pt>
                <c:pt idx="758">
                  <c:v>41261</c:v>
                </c:pt>
                <c:pt idx="759">
                  <c:v>41262</c:v>
                </c:pt>
                <c:pt idx="760">
                  <c:v>41263</c:v>
                </c:pt>
                <c:pt idx="761">
                  <c:v>41264</c:v>
                </c:pt>
                <c:pt idx="762">
                  <c:v>41267</c:v>
                </c:pt>
                <c:pt idx="763">
                  <c:v>41270</c:v>
                </c:pt>
                <c:pt idx="764">
                  <c:v>41271</c:v>
                </c:pt>
                <c:pt idx="765">
                  <c:v>41274</c:v>
                </c:pt>
                <c:pt idx="766">
                  <c:v>41276</c:v>
                </c:pt>
                <c:pt idx="767">
                  <c:v>41277</c:v>
                </c:pt>
                <c:pt idx="768">
                  <c:v>41278</c:v>
                </c:pt>
                <c:pt idx="769">
                  <c:v>41281</c:v>
                </c:pt>
                <c:pt idx="770">
                  <c:v>41282</c:v>
                </c:pt>
                <c:pt idx="771">
                  <c:v>41283</c:v>
                </c:pt>
                <c:pt idx="772">
                  <c:v>41284</c:v>
                </c:pt>
                <c:pt idx="773">
                  <c:v>41285</c:v>
                </c:pt>
                <c:pt idx="774">
                  <c:v>41288</c:v>
                </c:pt>
                <c:pt idx="775">
                  <c:v>41289</c:v>
                </c:pt>
                <c:pt idx="776">
                  <c:v>41290</c:v>
                </c:pt>
                <c:pt idx="777">
                  <c:v>41291</c:v>
                </c:pt>
                <c:pt idx="778">
                  <c:v>41292</c:v>
                </c:pt>
                <c:pt idx="779">
                  <c:v>41295</c:v>
                </c:pt>
                <c:pt idx="780">
                  <c:v>41296</c:v>
                </c:pt>
                <c:pt idx="781">
                  <c:v>41297</c:v>
                </c:pt>
                <c:pt idx="782">
                  <c:v>41298</c:v>
                </c:pt>
                <c:pt idx="783">
                  <c:v>41299</c:v>
                </c:pt>
                <c:pt idx="784">
                  <c:v>41302</c:v>
                </c:pt>
                <c:pt idx="785">
                  <c:v>41303</c:v>
                </c:pt>
                <c:pt idx="786">
                  <c:v>41304</c:v>
                </c:pt>
                <c:pt idx="787">
                  <c:v>41305</c:v>
                </c:pt>
                <c:pt idx="788">
                  <c:v>41306</c:v>
                </c:pt>
                <c:pt idx="789">
                  <c:v>41309</c:v>
                </c:pt>
                <c:pt idx="790">
                  <c:v>41310</c:v>
                </c:pt>
                <c:pt idx="791">
                  <c:v>41311</c:v>
                </c:pt>
                <c:pt idx="792">
                  <c:v>41312</c:v>
                </c:pt>
                <c:pt idx="793">
                  <c:v>41313</c:v>
                </c:pt>
                <c:pt idx="794">
                  <c:v>41316</c:v>
                </c:pt>
                <c:pt idx="795">
                  <c:v>41317</c:v>
                </c:pt>
                <c:pt idx="796">
                  <c:v>41318</c:v>
                </c:pt>
                <c:pt idx="797">
                  <c:v>41319</c:v>
                </c:pt>
                <c:pt idx="798">
                  <c:v>41320</c:v>
                </c:pt>
                <c:pt idx="799">
                  <c:v>41323</c:v>
                </c:pt>
                <c:pt idx="800">
                  <c:v>41324</c:v>
                </c:pt>
                <c:pt idx="801">
                  <c:v>41325</c:v>
                </c:pt>
                <c:pt idx="802">
                  <c:v>41326</c:v>
                </c:pt>
                <c:pt idx="803">
                  <c:v>41327</c:v>
                </c:pt>
                <c:pt idx="804">
                  <c:v>41330</c:v>
                </c:pt>
                <c:pt idx="805">
                  <c:v>41331</c:v>
                </c:pt>
                <c:pt idx="806">
                  <c:v>41332</c:v>
                </c:pt>
                <c:pt idx="807">
                  <c:v>41333</c:v>
                </c:pt>
                <c:pt idx="808">
                  <c:v>41334</c:v>
                </c:pt>
                <c:pt idx="809">
                  <c:v>41337</c:v>
                </c:pt>
                <c:pt idx="810">
                  <c:v>41338</c:v>
                </c:pt>
                <c:pt idx="811">
                  <c:v>41339</c:v>
                </c:pt>
                <c:pt idx="812">
                  <c:v>41340</c:v>
                </c:pt>
                <c:pt idx="813">
                  <c:v>41341</c:v>
                </c:pt>
                <c:pt idx="814">
                  <c:v>41344</c:v>
                </c:pt>
                <c:pt idx="815">
                  <c:v>41345</c:v>
                </c:pt>
                <c:pt idx="816">
                  <c:v>41346</c:v>
                </c:pt>
                <c:pt idx="817">
                  <c:v>41347</c:v>
                </c:pt>
                <c:pt idx="818">
                  <c:v>41348</c:v>
                </c:pt>
                <c:pt idx="819">
                  <c:v>41351</c:v>
                </c:pt>
                <c:pt idx="820">
                  <c:v>41352</c:v>
                </c:pt>
                <c:pt idx="821">
                  <c:v>41353</c:v>
                </c:pt>
                <c:pt idx="822">
                  <c:v>41354</c:v>
                </c:pt>
                <c:pt idx="823">
                  <c:v>41355</c:v>
                </c:pt>
                <c:pt idx="824">
                  <c:v>41358</c:v>
                </c:pt>
                <c:pt idx="825">
                  <c:v>41359</c:v>
                </c:pt>
                <c:pt idx="826">
                  <c:v>41360</c:v>
                </c:pt>
                <c:pt idx="827">
                  <c:v>41361</c:v>
                </c:pt>
                <c:pt idx="828">
                  <c:v>41362</c:v>
                </c:pt>
                <c:pt idx="829">
                  <c:v>41363</c:v>
                </c:pt>
                <c:pt idx="830">
                  <c:v>41364</c:v>
                </c:pt>
                <c:pt idx="831">
                  <c:v>41365</c:v>
                </c:pt>
                <c:pt idx="832">
                  <c:v>41366</c:v>
                </c:pt>
                <c:pt idx="833">
                  <c:v>41367</c:v>
                </c:pt>
                <c:pt idx="834">
                  <c:v>41368</c:v>
                </c:pt>
                <c:pt idx="835">
                  <c:v>41369</c:v>
                </c:pt>
                <c:pt idx="836">
                  <c:v>41370</c:v>
                </c:pt>
                <c:pt idx="837">
                  <c:v>41371</c:v>
                </c:pt>
                <c:pt idx="838">
                  <c:v>41372</c:v>
                </c:pt>
                <c:pt idx="839">
                  <c:v>41373</c:v>
                </c:pt>
                <c:pt idx="840">
                  <c:v>41374</c:v>
                </c:pt>
                <c:pt idx="841">
                  <c:v>41375</c:v>
                </c:pt>
                <c:pt idx="842">
                  <c:v>41376</c:v>
                </c:pt>
                <c:pt idx="843">
                  <c:v>41377</c:v>
                </c:pt>
                <c:pt idx="844">
                  <c:v>41378</c:v>
                </c:pt>
                <c:pt idx="845">
                  <c:v>41379</c:v>
                </c:pt>
                <c:pt idx="846">
                  <c:v>41380</c:v>
                </c:pt>
                <c:pt idx="847">
                  <c:v>41381</c:v>
                </c:pt>
                <c:pt idx="848">
                  <c:v>41382</c:v>
                </c:pt>
                <c:pt idx="849">
                  <c:v>41383</c:v>
                </c:pt>
                <c:pt idx="850">
                  <c:v>41384</c:v>
                </c:pt>
                <c:pt idx="851">
                  <c:v>41385</c:v>
                </c:pt>
                <c:pt idx="852">
                  <c:v>41386</c:v>
                </c:pt>
                <c:pt idx="853">
                  <c:v>41387</c:v>
                </c:pt>
                <c:pt idx="854">
                  <c:v>41388</c:v>
                </c:pt>
                <c:pt idx="855">
                  <c:v>41389</c:v>
                </c:pt>
                <c:pt idx="856">
                  <c:v>41390</c:v>
                </c:pt>
                <c:pt idx="857">
                  <c:v>41391</c:v>
                </c:pt>
                <c:pt idx="858">
                  <c:v>41392</c:v>
                </c:pt>
                <c:pt idx="859">
                  <c:v>41393</c:v>
                </c:pt>
                <c:pt idx="860">
                  <c:v>41394</c:v>
                </c:pt>
                <c:pt idx="861">
                  <c:v>41395</c:v>
                </c:pt>
                <c:pt idx="862">
                  <c:v>41396</c:v>
                </c:pt>
                <c:pt idx="863">
                  <c:v>41397</c:v>
                </c:pt>
                <c:pt idx="864">
                  <c:v>41398</c:v>
                </c:pt>
                <c:pt idx="865">
                  <c:v>41399</c:v>
                </c:pt>
                <c:pt idx="866">
                  <c:v>41400</c:v>
                </c:pt>
                <c:pt idx="867">
                  <c:v>41401</c:v>
                </c:pt>
                <c:pt idx="868">
                  <c:v>41402</c:v>
                </c:pt>
                <c:pt idx="869">
                  <c:v>41403</c:v>
                </c:pt>
                <c:pt idx="870">
                  <c:v>41404</c:v>
                </c:pt>
                <c:pt idx="871">
                  <c:v>41405</c:v>
                </c:pt>
                <c:pt idx="872">
                  <c:v>41406</c:v>
                </c:pt>
                <c:pt idx="873">
                  <c:v>41407</c:v>
                </c:pt>
                <c:pt idx="874">
                  <c:v>41408</c:v>
                </c:pt>
                <c:pt idx="875">
                  <c:v>41409</c:v>
                </c:pt>
                <c:pt idx="876">
                  <c:v>41410</c:v>
                </c:pt>
                <c:pt idx="877">
                  <c:v>41411</c:v>
                </c:pt>
                <c:pt idx="878">
                  <c:v>41412</c:v>
                </c:pt>
                <c:pt idx="879">
                  <c:v>41413</c:v>
                </c:pt>
                <c:pt idx="880">
                  <c:v>41414</c:v>
                </c:pt>
                <c:pt idx="881">
                  <c:v>41415</c:v>
                </c:pt>
                <c:pt idx="882">
                  <c:v>41416</c:v>
                </c:pt>
                <c:pt idx="883">
                  <c:v>41417</c:v>
                </c:pt>
                <c:pt idx="884">
                  <c:v>41418</c:v>
                </c:pt>
                <c:pt idx="885">
                  <c:v>41419</c:v>
                </c:pt>
                <c:pt idx="886">
                  <c:v>41420</c:v>
                </c:pt>
                <c:pt idx="887">
                  <c:v>41421</c:v>
                </c:pt>
                <c:pt idx="888">
                  <c:v>41422</c:v>
                </c:pt>
                <c:pt idx="889">
                  <c:v>41423</c:v>
                </c:pt>
                <c:pt idx="890">
                  <c:v>41424</c:v>
                </c:pt>
                <c:pt idx="891">
                  <c:v>41425</c:v>
                </c:pt>
                <c:pt idx="892">
                  <c:v>41426</c:v>
                </c:pt>
                <c:pt idx="893">
                  <c:v>41427</c:v>
                </c:pt>
                <c:pt idx="894">
                  <c:v>41428</c:v>
                </c:pt>
                <c:pt idx="895">
                  <c:v>41429</c:v>
                </c:pt>
                <c:pt idx="896">
                  <c:v>41430</c:v>
                </c:pt>
                <c:pt idx="897">
                  <c:v>41431</c:v>
                </c:pt>
                <c:pt idx="898">
                  <c:v>41432</c:v>
                </c:pt>
                <c:pt idx="899">
                  <c:v>41433</c:v>
                </c:pt>
                <c:pt idx="900">
                  <c:v>41434</c:v>
                </c:pt>
                <c:pt idx="901">
                  <c:v>41435</c:v>
                </c:pt>
                <c:pt idx="902">
                  <c:v>41436</c:v>
                </c:pt>
                <c:pt idx="903">
                  <c:v>41437</c:v>
                </c:pt>
                <c:pt idx="904">
                  <c:v>41438</c:v>
                </c:pt>
                <c:pt idx="905">
                  <c:v>41439</c:v>
                </c:pt>
                <c:pt idx="906">
                  <c:v>41440</c:v>
                </c:pt>
                <c:pt idx="907">
                  <c:v>41441</c:v>
                </c:pt>
                <c:pt idx="908">
                  <c:v>41442</c:v>
                </c:pt>
                <c:pt idx="909">
                  <c:v>41443</c:v>
                </c:pt>
                <c:pt idx="910">
                  <c:v>41444</c:v>
                </c:pt>
                <c:pt idx="911">
                  <c:v>41445</c:v>
                </c:pt>
                <c:pt idx="912">
                  <c:v>41446</c:v>
                </c:pt>
                <c:pt idx="913">
                  <c:v>41447</c:v>
                </c:pt>
                <c:pt idx="914">
                  <c:v>41448</c:v>
                </c:pt>
                <c:pt idx="915">
                  <c:v>41449</c:v>
                </c:pt>
                <c:pt idx="916">
                  <c:v>41450</c:v>
                </c:pt>
                <c:pt idx="917">
                  <c:v>41451</c:v>
                </c:pt>
                <c:pt idx="918">
                  <c:v>41452</c:v>
                </c:pt>
                <c:pt idx="919">
                  <c:v>41453</c:v>
                </c:pt>
                <c:pt idx="920">
                  <c:v>41454</c:v>
                </c:pt>
                <c:pt idx="921">
                  <c:v>41455</c:v>
                </c:pt>
                <c:pt idx="922">
                  <c:v>41456</c:v>
                </c:pt>
                <c:pt idx="923">
                  <c:v>41457</c:v>
                </c:pt>
                <c:pt idx="924">
                  <c:v>41458</c:v>
                </c:pt>
                <c:pt idx="925">
                  <c:v>41459</c:v>
                </c:pt>
                <c:pt idx="926">
                  <c:v>41460</c:v>
                </c:pt>
                <c:pt idx="927">
                  <c:v>41461</c:v>
                </c:pt>
                <c:pt idx="928">
                  <c:v>41462</c:v>
                </c:pt>
                <c:pt idx="929">
                  <c:v>41463</c:v>
                </c:pt>
                <c:pt idx="930">
                  <c:v>41464</c:v>
                </c:pt>
                <c:pt idx="931">
                  <c:v>41465</c:v>
                </c:pt>
                <c:pt idx="932">
                  <c:v>41466</c:v>
                </c:pt>
                <c:pt idx="933">
                  <c:v>41467</c:v>
                </c:pt>
                <c:pt idx="934">
                  <c:v>41468</c:v>
                </c:pt>
                <c:pt idx="935">
                  <c:v>41469</c:v>
                </c:pt>
                <c:pt idx="936">
                  <c:v>41470</c:v>
                </c:pt>
                <c:pt idx="937">
                  <c:v>41471</c:v>
                </c:pt>
                <c:pt idx="938">
                  <c:v>41472</c:v>
                </c:pt>
                <c:pt idx="939">
                  <c:v>41473</c:v>
                </c:pt>
                <c:pt idx="940">
                  <c:v>41474</c:v>
                </c:pt>
                <c:pt idx="941">
                  <c:v>41475</c:v>
                </c:pt>
                <c:pt idx="942">
                  <c:v>41476</c:v>
                </c:pt>
                <c:pt idx="943">
                  <c:v>41477</c:v>
                </c:pt>
                <c:pt idx="944">
                  <c:v>41478</c:v>
                </c:pt>
                <c:pt idx="945">
                  <c:v>41479</c:v>
                </c:pt>
                <c:pt idx="946">
                  <c:v>41480</c:v>
                </c:pt>
                <c:pt idx="947">
                  <c:v>41481</c:v>
                </c:pt>
                <c:pt idx="948">
                  <c:v>41482</c:v>
                </c:pt>
                <c:pt idx="949">
                  <c:v>41483</c:v>
                </c:pt>
                <c:pt idx="950">
                  <c:v>41484</c:v>
                </c:pt>
                <c:pt idx="951">
                  <c:v>41485</c:v>
                </c:pt>
                <c:pt idx="952">
                  <c:v>41486</c:v>
                </c:pt>
                <c:pt idx="953">
                  <c:v>41487</c:v>
                </c:pt>
                <c:pt idx="954">
                  <c:v>41488</c:v>
                </c:pt>
                <c:pt idx="955">
                  <c:v>41489</c:v>
                </c:pt>
                <c:pt idx="956">
                  <c:v>41490</c:v>
                </c:pt>
                <c:pt idx="957">
                  <c:v>41491</c:v>
                </c:pt>
                <c:pt idx="958">
                  <c:v>41492</c:v>
                </c:pt>
                <c:pt idx="959">
                  <c:v>41493</c:v>
                </c:pt>
                <c:pt idx="960">
                  <c:v>41494</c:v>
                </c:pt>
                <c:pt idx="961">
                  <c:v>41495</c:v>
                </c:pt>
                <c:pt idx="962">
                  <c:v>41496</c:v>
                </c:pt>
                <c:pt idx="963">
                  <c:v>41497</c:v>
                </c:pt>
                <c:pt idx="964">
                  <c:v>41498</c:v>
                </c:pt>
                <c:pt idx="965">
                  <c:v>41499</c:v>
                </c:pt>
                <c:pt idx="966">
                  <c:v>41500</c:v>
                </c:pt>
                <c:pt idx="967">
                  <c:v>41501</c:v>
                </c:pt>
                <c:pt idx="968">
                  <c:v>41502</c:v>
                </c:pt>
                <c:pt idx="969">
                  <c:v>41503</c:v>
                </c:pt>
                <c:pt idx="970">
                  <c:v>41504</c:v>
                </c:pt>
                <c:pt idx="971">
                  <c:v>41505</c:v>
                </c:pt>
                <c:pt idx="972">
                  <c:v>41506</c:v>
                </c:pt>
                <c:pt idx="973">
                  <c:v>41507</c:v>
                </c:pt>
                <c:pt idx="974">
                  <c:v>41508</c:v>
                </c:pt>
                <c:pt idx="975">
                  <c:v>41509</c:v>
                </c:pt>
                <c:pt idx="976">
                  <c:v>41510</c:v>
                </c:pt>
                <c:pt idx="977">
                  <c:v>41511</c:v>
                </c:pt>
                <c:pt idx="978">
                  <c:v>41512</c:v>
                </c:pt>
                <c:pt idx="979">
                  <c:v>41513</c:v>
                </c:pt>
                <c:pt idx="980">
                  <c:v>41514</c:v>
                </c:pt>
                <c:pt idx="981">
                  <c:v>41515</c:v>
                </c:pt>
                <c:pt idx="982">
                  <c:v>41516</c:v>
                </c:pt>
                <c:pt idx="983">
                  <c:v>41517</c:v>
                </c:pt>
                <c:pt idx="984">
                  <c:v>41518</c:v>
                </c:pt>
                <c:pt idx="985">
                  <c:v>41519</c:v>
                </c:pt>
                <c:pt idx="986">
                  <c:v>41520</c:v>
                </c:pt>
                <c:pt idx="987">
                  <c:v>41521</c:v>
                </c:pt>
                <c:pt idx="988">
                  <c:v>41522</c:v>
                </c:pt>
                <c:pt idx="989">
                  <c:v>41523</c:v>
                </c:pt>
                <c:pt idx="990">
                  <c:v>41524</c:v>
                </c:pt>
                <c:pt idx="991">
                  <c:v>41525</c:v>
                </c:pt>
                <c:pt idx="992">
                  <c:v>41526</c:v>
                </c:pt>
                <c:pt idx="993">
                  <c:v>41527</c:v>
                </c:pt>
                <c:pt idx="994">
                  <c:v>41528</c:v>
                </c:pt>
                <c:pt idx="995">
                  <c:v>41529</c:v>
                </c:pt>
                <c:pt idx="996">
                  <c:v>41530</c:v>
                </c:pt>
                <c:pt idx="997">
                  <c:v>41531</c:v>
                </c:pt>
                <c:pt idx="998">
                  <c:v>41532</c:v>
                </c:pt>
                <c:pt idx="999">
                  <c:v>41533</c:v>
                </c:pt>
                <c:pt idx="1000">
                  <c:v>41534</c:v>
                </c:pt>
                <c:pt idx="1001">
                  <c:v>41535</c:v>
                </c:pt>
                <c:pt idx="1002">
                  <c:v>41536</c:v>
                </c:pt>
                <c:pt idx="1003">
                  <c:v>41537</c:v>
                </c:pt>
                <c:pt idx="1004">
                  <c:v>41538</c:v>
                </c:pt>
                <c:pt idx="1005">
                  <c:v>41539</c:v>
                </c:pt>
                <c:pt idx="1006">
                  <c:v>41540</c:v>
                </c:pt>
                <c:pt idx="1007">
                  <c:v>41541</c:v>
                </c:pt>
                <c:pt idx="1008">
                  <c:v>41542</c:v>
                </c:pt>
                <c:pt idx="1009">
                  <c:v>41543</c:v>
                </c:pt>
                <c:pt idx="1010">
                  <c:v>41544</c:v>
                </c:pt>
                <c:pt idx="1011">
                  <c:v>41545</c:v>
                </c:pt>
                <c:pt idx="1012">
                  <c:v>41546</c:v>
                </c:pt>
                <c:pt idx="1013">
                  <c:v>41547</c:v>
                </c:pt>
                <c:pt idx="1014">
                  <c:v>41548</c:v>
                </c:pt>
                <c:pt idx="1015">
                  <c:v>41549</c:v>
                </c:pt>
                <c:pt idx="1016">
                  <c:v>41550</c:v>
                </c:pt>
                <c:pt idx="1017">
                  <c:v>41551</c:v>
                </c:pt>
                <c:pt idx="1018">
                  <c:v>41552</c:v>
                </c:pt>
                <c:pt idx="1019">
                  <c:v>41553</c:v>
                </c:pt>
                <c:pt idx="1020">
                  <c:v>41554</c:v>
                </c:pt>
                <c:pt idx="1021">
                  <c:v>41555</c:v>
                </c:pt>
                <c:pt idx="1022">
                  <c:v>41556</c:v>
                </c:pt>
                <c:pt idx="1023">
                  <c:v>41557</c:v>
                </c:pt>
                <c:pt idx="1024">
                  <c:v>41558</c:v>
                </c:pt>
                <c:pt idx="1025">
                  <c:v>41559</c:v>
                </c:pt>
                <c:pt idx="1026">
                  <c:v>41560</c:v>
                </c:pt>
                <c:pt idx="1027">
                  <c:v>41561</c:v>
                </c:pt>
                <c:pt idx="1028">
                  <c:v>41562</c:v>
                </c:pt>
                <c:pt idx="1029">
                  <c:v>41563</c:v>
                </c:pt>
                <c:pt idx="1030">
                  <c:v>41564</c:v>
                </c:pt>
                <c:pt idx="1031">
                  <c:v>41565</c:v>
                </c:pt>
                <c:pt idx="1032">
                  <c:v>41566</c:v>
                </c:pt>
                <c:pt idx="1033">
                  <c:v>41567</c:v>
                </c:pt>
                <c:pt idx="1034">
                  <c:v>41568</c:v>
                </c:pt>
                <c:pt idx="1035">
                  <c:v>41569</c:v>
                </c:pt>
                <c:pt idx="1036">
                  <c:v>41570</c:v>
                </c:pt>
                <c:pt idx="1037">
                  <c:v>41571</c:v>
                </c:pt>
                <c:pt idx="1038">
                  <c:v>41572</c:v>
                </c:pt>
                <c:pt idx="1039">
                  <c:v>41573</c:v>
                </c:pt>
                <c:pt idx="1040">
                  <c:v>41574</c:v>
                </c:pt>
                <c:pt idx="1041">
                  <c:v>41575</c:v>
                </c:pt>
                <c:pt idx="1042">
                  <c:v>41576</c:v>
                </c:pt>
                <c:pt idx="1043">
                  <c:v>41577</c:v>
                </c:pt>
                <c:pt idx="1044">
                  <c:v>41578</c:v>
                </c:pt>
                <c:pt idx="1045">
                  <c:v>41579</c:v>
                </c:pt>
                <c:pt idx="1046">
                  <c:v>41580</c:v>
                </c:pt>
                <c:pt idx="1047">
                  <c:v>41581</c:v>
                </c:pt>
                <c:pt idx="1048">
                  <c:v>41582</c:v>
                </c:pt>
                <c:pt idx="1049">
                  <c:v>41583</c:v>
                </c:pt>
                <c:pt idx="1050">
                  <c:v>41584</c:v>
                </c:pt>
                <c:pt idx="1051">
                  <c:v>41585</c:v>
                </c:pt>
                <c:pt idx="1052">
                  <c:v>41586</c:v>
                </c:pt>
                <c:pt idx="1053">
                  <c:v>41587</c:v>
                </c:pt>
                <c:pt idx="1054">
                  <c:v>41588</c:v>
                </c:pt>
                <c:pt idx="1055">
                  <c:v>41589</c:v>
                </c:pt>
                <c:pt idx="1056">
                  <c:v>41590</c:v>
                </c:pt>
                <c:pt idx="1057">
                  <c:v>41591</c:v>
                </c:pt>
                <c:pt idx="1058">
                  <c:v>41592</c:v>
                </c:pt>
                <c:pt idx="1059">
                  <c:v>41593</c:v>
                </c:pt>
                <c:pt idx="1060">
                  <c:v>41594</c:v>
                </c:pt>
                <c:pt idx="1061">
                  <c:v>41595</c:v>
                </c:pt>
                <c:pt idx="1062">
                  <c:v>41596</c:v>
                </c:pt>
                <c:pt idx="1063">
                  <c:v>41597</c:v>
                </c:pt>
                <c:pt idx="1064">
                  <c:v>41598</c:v>
                </c:pt>
                <c:pt idx="1065">
                  <c:v>41599</c:v>
                </c:pt>
                <c:pt idx="1066">
                  <c:v>41600</c:v>
                </c:pt>
                <c:pt idx="1067">
                  <c:v>41601</c:v>
                </c:pt>
                <c:pt idx="1068">
                  <c:v>41602</c:v>
                </c:pt>
                <c:pt idx="1069">
                  <c:v>41603</c:v>
                </c:pt>
                <c:pt idx="1070">
                  <c:v>41604</c:v>
                </c:pt>
                <c:pt idx="1071">
                  <c:v>41605</c:v>
                </c:pt>
                <c:pt idx="1072">
                  <c:v>41606</c:v>
                </c:pt>
                <c:pt idx="1073">
                  <c:v>41607</c:v>
                </c:pt>
                <c:pt idx="1074">
                  <c:v>41608</c:v>
                </c:pt>
                <c:pt idx="1075">
                  <c:v>41609</c:v>
                </c:pt>
                <c:pt idx="1076">
                  <c:v>41610</c:v>
                </c:pt>
                <c:pt idx="1077">
                  <c:v>41611</c:v>
                </c:pt>
                <c:pt idx="1078">
                  <c:v>41612</c:v>
                </c:pt>
                <c:pt idx="1079">
                  <c:v>41613</c:v>
                </c:pt>
                <c:pt idx="1080">
                  <c:v>41614</c:v>
                </c:pt>
                <c:pt idx="1081">
                  <c:v>41615</c:v>
                </c:pt>
                <c:pt idx="1082">
                  <c:v>41616</c:v>
                </c:pt>
                <c:pt idx="1083">
                  <c:v>41617</c:v>
                </c:pt>
                <c:pt idx="1084">
                  <c:v>41618</c:v>
                </c:pt>
                <c:pt idx="1085">
                  <c:v>41619</c:v>
                </c:pt>
                <c:pt idx="1086">
                  <c:v>41620</c:v>
                </c:pt>
                <c:pt idx="1087">
                  <c:v>41621</c:v>
                </c:pt>
                <c:pt idx="1088">
                  <c:v>41622</c:v>
                </c:pt>
                <c:pt idx="1089">
                  <c:v>41623</c:v>
                </c:pt>
                <c:pt idx="1090">
                  <c:v>41624</c:v>
                </c:pt>
                <c:pt idx="1091">
                  <c:v>41625</c:v>
                </c:pt>
                <c:pt idx="1092">
                  <c:v>41626</c:v>
                </c:pt>
                <c:pt idx="1093">
                  <c:v>41627</c:v>
                </c:pt>
                <c:pt idx="1094">
                  <c:v>41628</c:v>
                </c:pt>
                <c:pt idx="1095">
                  <c:v>41629</c:v>
                </c:pt>
                <c:pt idx="1096">
                  <c:v>41630</c:v>
                </c:pt>
                <c:pt idx="1097">
                  <c:v>41631</c:v>
                </c:pt>
                <c:pt idx="1098">
                  <c:v>41632</c:v>
                </c:pt>
                <c:pt idx="1099">
                  <c:v>41633</c:v>
                </c:pt>
                <c:pt idx="1100">
                  <c:v>41634</c:v>
                </c:pt>
                <c:pt idx="1101">
                  <c:v>41635</c:v>
                </c:pt>
                <c:pt idx="1102">
                  <c:v>41636</c:v>
                </c:pt>
                <c:pt idx="1103">
                  <c:v>41637</c:v>
                </c:pt>
              </c:numCache>
            </c:numRef>
          </c:cat>
          <c:val>
            <c:numRef>
              <c:f>'Standing Facilities'!$B$408:$B$1514</c:f>
              <c:numCache>
                <c:formatCode>#,##0_ ;[Red]\-#,##0\ </c:formatCode>
                <c:ptCount val="1107"/>
                <c:pt idx="0">
                  <c:v>57</c:v>
                </c:pt>
                <c:pt idx="1">
                  <c:v>46</c:v>
                </c:pt>
                <c:pt idx="2">
                  <c:v>72</c:v>
                </c:pt>
                <c:pt idx="3">
                  <c:v>138</c:v>
                </c:pt>
                <c:pt idx="4">
                  <c:v>46</c:v>
                </c:pt>
                <c:pt idx="5">
                  <c:v>50</c:v>
                </c:pt>
                <c:pt idx="6">
                  <c:v>45</c:v>
                </c:pt>
                <c:pt idx="7">
                  <c:v>48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5227</c:v>
                </c:pt>
                <c:pt idx="12">
                  <c:v>346</c:v>
                </c:pt>
                <c:pt idx="13">
                  <c:v>64</c:v>
                </c:pt>
                <c:pt idx="14">
                  <c:v>83</c:v>
                </c:pt>
                <c:pt idx="15">
                  <c:v>69</c:v>
                </c:pt>
                <c:pt idx="16">
                  <c:v>72</c:v>
                </c:pt>
                <c:pt idx="17">
                  <c:v>541</c:v>
                </c:pt>
                <c:pt idx="18">
                  <c:v>81</c:v>
                </c:pt>
                <c:pt idx="19">
                  <c:v>88</c:v>
                </c:pt>
                <c:pt idx="20">
                  <c:v>56</c:v>
                </c:pt>
                <c:pt idx="21">
                  <c:v>58</c:v>
                </c:pt>
                <c:pt idx="22">
                  <c:v>48</c:v>
                </c:pt>
                <c:pt idx="23">
                  <c:v>48</c:v>
                </c:pt>
                <c:pt idx="24">
                  <c:v>51</c:v>
                </c:pt>
                <c:pt idx="25">
                  <c:v>51</c:v>
                </c:pt>
                <c:pt idx="26">
                  <c:v>2233</c:v>
                </c:pt>
                <c:pt idx="27">
                  <c:v>79</c:v>
                </c:pt>
                <c:pt idx="28">
                  <c:v>4102</c:v>
                </c:pt>
                <c:pt idx="29">
                  <c:v>3877</c:v>
                </c:pt>
                <c:pt idx="30">
                  <c:v>3828</c:v>
                </c:pt>
                <c:pt idx="31">
                  <c:v>3828</c:v>
                </c:pt>
                <c:pt idx="32">
                  <c:v>3488</c:v>
                </c:pt>
                <c:pt idx="33">
                  <c:v>52</c:v>
                </c:pt>
                <c:pt idx="34">
                  <c:v>56</c:v>
                </c:pt>
                <c:pt idx="35">
                  <c:v>61</c:v>
                </c:pt>
                <c:pt idx="36">
                  <c:v>84</c:v>
                </c:pt>
                <c:pt idx="37">
                  <c:v>77</c:v>
                </c:pt>
                <c:pt idx="38">
                  <c:v>104</c:v>
                </c:pt>
                <c:pt idx="39">
                  <c:v>178</c:v>
                </c:pt>
                <c:pt idx="40">
                  <c:v>235</c:v>
                </c:pt>
                <c:pt idx="41">
                  <c:v>246</c:v>
                </c:pt>
                <c:pt idx="42">
                  <c:v>246</c:v>
                </c:pt>
                <c:pt idx="43">
                  <c:v>82</c:v>
                </c:pt>
                <c:pt idx="44">
                  <c:v>55</c:v>
                </c:pt>
                <c:pt idx="45">
                  <c:v>59</c:v>
                </c:pt>
                <c:pt idx="46">
                  <c:v>70</c:v>
                </c:pt>
                <c:pt idx="47">
                  <c:v>67</c:v>
                </c:pt>
                <c:pt idx="48">
                  <c:v>1303</c:v>
                </c:pt>
                <c:pt idx="49">
                  <c:v>108</c:v>
                </c:pt>
                <c:pt idx="50">
                  <c:v>147</c:v>
                </c:pt>
                <c:pt idx="51">
                  <c:v>125</c:v>
                </c:pt>
                <c:pt idx="52">
                  <c:v>54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2097</c:v>
                </c:pt>
                <c:pt idx="57">
                  <c:v>430</c:v>
                </c:pt>
                <c:pt idx="58">
                  <c:v>62</c:v>
                </c:pt>
                <c:pt idx="59">
                  <c:v>1</c:v>
                </c:pt>
                <c:pt idx="60">
                  <c:v>15</c:v>
                </c:pt>
                <c:pt idx="61">
                  <c:v>39</c:v>
                </c:pt>
                <c:pt idx="62">
                  <c:v>2053</c:v>
                </c:pt>
                <c:pt idx="63">
                  <c:v>69</c:v>
                </c:pt>
                <c:pt idx="64">
                  <c:v>61</c:v>
                </c:pt>
                <c:pt idx="65">
                  <c:v>106</c:v>
                </c:pt>
                <c:pt idx="66">
                  <c:v>33</c:v>
                </c:pt>
                <c:pt idx="67">
                  <c:v>1</c:v>
                </c:pt>
                <c:pt idx="68">
                  <c:v>498</c:v>
                </c:pt>
                <c:pt idx="69">
                  <c:v>1180</c:v>
                </c:pt>
                <c:pt idx="70">
                  <c:v>98</c:v>
                </c:pt>
                <c:pt idx="71">
                  <c:v>70</c:v>
                </c:pt>
                <c:pt idx="72">
                  <c:v>1</c:v>
                </c:pt>
                <c:pt idx="73">
                  <c:v>3</c:v>
                </c:pt>
                <c:pt idx="74">
                  <c:v>16</c:v>
                </c:pt>
                <c:pt idx="75">
                  <c:v>130</c:v>
                </c:pt>
                <c:pt idx="76">
                  <c:v>1</c:v>
                </c:pt>
                <c:pt idx="77">
                  <c:v>2</c:v>
                </c:pt>
                <c:pt idx="78">
                  <c:v>781</c:v>
                </c:pt>
                <c:pt idx="79">
                  <c:v>42</c:v>
                </c:pt>
                <c:pt idx="80">
                  <c:v>272</c:v>
                </c:pt>
                <c:pt idx="81">
                  <c:v>20</c:v>
                </c:pt>
                <c:pt idx="82">
                  <c:v>754</c:v>
                </c:pt>
                <c:pt idx="83">
                  <c:v>2629</c:v>
                </c:pt>
                <c:pt idx="84">
                  <c:v>2409</c:v>
                </c:pt>
                <c:pt idx="85">
                  <c:v>1304</c:v>
                </c:pt>
                <c:pt idx="86">
                  <c:v>1205</c:v>
                </c:pt>
                <c:pt idx="87">
                  <c:v>2382</c:v>
                </c:pt>
                <c:pt idx="88">
                  <c:v>3825</c:v>
                </c:pt>
                <c:pt idx="89">
                  <c:v>4387</c:v>
                </c:pt>
                <c:pt idx="90">
                  <c:v>3956</c:v>
                </c:pt>
                <c:pt idx="91">
                  <c:v>53</c:v>
                </c:pt>
                <c:pt idx="92">
                  <c:v>167</c:v>
                </c:pt>
                <c:pt idx="93">
                  <c:v>51</c:v>
                </c:pt>
                <c:pt idx="94">
                  <c:v>580</c:v>
                </c:pt>
                <c:pt idx="95">
                  <c:v>9</c:v>
                </c:pt>
                <c:pt idx="96">
                  <c:v>1</c:v>
                </c:pt>
                <c:pt idx="97">
                  <c:v>13</c:v>
                </c:pt>
                <c:pt idx="98">
                  <c:v>45</c:v>
                </c:pt>
                <c:pt idx="99">
                  <c:v>181</c:v>
                </c:pt>
                <c:pt idx="100">
                  <c:v>163</c:v>
                </c:pt>
                <c:pt idx="101">
                  <c:v>30</c:v>
                </c:pt>
                <c:pt idx="102">
                  <c:v>250</c:v>
                </c:pt>
                <c:pt idx="103">
                  <c:v>1091</c:v>
                </c:pt>
                <c:pt idx="104">
                  <c:v>24</c:v>
                </c:pt>
                <c:pt idx="105">
                  <c:v>9</c:v>
                </c:pt>
                <c:pt idx="106">
                  <c:v>315</c:v>
                </c:pt>
                <c:pt idx="107">
                  <c:v>9</c:v>
                </c:pt>
                <c:pt idx="108">
                  <c:v>8</c:v>
                </c:pt>
                <c:pt idx="109">
                  <c:v>29</c:v>
                </c:pt>
                <c:pt idx="110">
                  <c:v>1327</c:v>
                </c:pt>
                <c:pt idx="111">
                  <c:v>735</c:v>
                </c:pt>
                <c:pt idx="112">
                  <c:v>367</c:v>
                </c:pt>
                <c:pt idx="113">
                  <c:v>50</c:v>
                </c:pt>
                <c:pt idx="114">
                  <c:v>679</c:v>
                </c:pt>
                <c:pt idx="115">
                  <c:v>30</c:v>
                </c:pt>
                <c:pt idx="116">
                  <c:v>11</c:v>
                </c:pt>
                <c:pt idx="117">
                  <c:v>11</c:v>
                </c:pt>
                <c:pt idx="118">
                  <c:v>1517</c:v>
                </c:pt>
                <c:pt idx="119">
                  <c:v>11</c:v>
                </c:pt>
                <c:pt idx="120">
                  <c:v>0</c:v>
                </c:pt>
                <c:pt idx="121">
                  <c:v>1</c:v>
                </c:pt>
                <c:pt idx="122">
                  <c:v>565</c:v>
                </c:pt>
                <c:pt idx="123">
                  <c:v>540</c:v>
                </c:pt>
                <c:pt idx="124">
                  <c:v>429</c:v>
                </c:pt>
                <c:pt idx="125">
                  <c:v>27</c:v>
                </c:pt>
                <c:pt idx="126">
                  <c:v>696</c:v>
                </c:pt>
                <c:pt idx="127">
                  <c:v>484</c:v>
                </c:pt>
                <c:pt idx="128">
                  <c:v>856</c:v>
                </c:pt>
                <c:pt idx="129">
                  <c:v>22</c:v>
                </c:pt>
                <c:pt idx="130">
                  <c:v>80</c:v>
                </c:pt>
                <c:pt idx="131">
                  <c:v>1</c:v>
                </c:pt>
                <c:pt idx="132">
                  <c:v>1</c:v>
                </c:pt>
                <c:pt idx="133">
                  <c:v>21</c:v>
                </c:pt>
                <c:pt idx="134">
                  <c:v>1636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390</c:v>
                </c:pt>
                <c:pt idx="139">
                  <c:v>990</c:v>
                </c:pt>
                <c:pt idx="140">
                  <c:v>2</c:v>
                </c:pt>
                <c:pt idx="141">
                  <c:v>10</c:v>
                </c:pt>
                <c:pt idx="142">
                  <c:v>3</c:v>
                </c:pt>
                <c:pt idx="143">
                  <c:v>7</c:v>
                </c:pt>
                <c:pt idx="144">
                  <c:v>45</c:v>
                </c:pt>
                <c:pt idx="145">
                  <c:v>60</c:v>
                </c:pt>
                <c:pt idx="146">
                  <c:v>79</c:v>
                </c:pt>
                <c:pt idx="147">
                  <c:v>366</c:v>
                </c:pt>
                <c:pt idx="148">
                  <c:v>4</c:v>
                </c:pt>
                <c:pt idx="149">
                  <c:v>45</c:v>
                </c:pt>
                <c:pt idx="150">
                  <c:v>676</c:v>
                </c:pt>
                <c:pt idx="151">
                  <c:v>11</c:v>
                </c:pt>
                <c:pt idx="152">
                  <c:v>85</c:v>
                </c:pt>
                <c:pt idx="153">
                  <c:v>1</c:v>
                </c:pt>
                <c:pt idx="154">
                  <c:v>116</c:v>
                </c:pt>
                <c:pt idx="155">
                  <c:v>29</c:v>
                </c:pt>
                <c:pt idx="156">
                  <c:v>367</c:v>
                </c:pt>
                <c:pt idx="157">
                  <c:v>253</c:v>
                </c:pt>
                <c:pt idx="158">
                  <c:v>1482</c:v>
                </c:pt>
                <c:pt idx="159">
                  <c:v>1861</c:v>
                </c:pt>
                <c:pt idx="160">
                  <c:v>775</c:v>
                </c:pt>
                <c:pt idx="161">
                  <c:v>503</c:v>
                </c:pt>
                <c:pt idx="162">
                  <c:v>340</c:v>
                </c:pt>
                <c:pt idx="163">
                  <c:v>129</c:v>
                </c:pt>
                <c:pt idx="164">
                  <c:v>491</c:v>
                </c:pt>
                <c:pt idx="165">
                  <c:v>49</c:v>
                </c:pt>
                <c:pt idx="166">
                  <c:v>921</c:v>
                </c:pt>
                <c:pt idx="167">
                  <c:v>1427</c:v>
                </c:pt>
                <c:pt idx="168">
                  <c:v>1409</c:v>
                </c:pt>
                <c:pt idx="169">
                  <c:v>1545</c:v>
                </c:pt>
                <c:pt idx="170">
                  <c:v>12</c:v>
                </c:pt>
                <c:pt idx="171">
                  <c:v>191</c:v>
                </c:pt>
                <c:pt idx="172">
                  <c:v>3</c:v>
                </c:pt>
                <c:pt idx="173">
                  <c:v>11</c:v>
                </c:pt>
                <c:pt idx="174">
                  <c:v>131</c:v>
                </c:pt>
                <c:pt idx="175">
                  <c:v>0</c:v>
                </c:pt>
                <c:pt idx="176">
                  <c:v>620</c:v>
                </c:pt>
                <c:pt idx="177">
                  <c:v>1025</c:v>
                </c:pt>
                <c:pt idx="178">
                  <c:v>1849</c:v>
                </c:pt>
                <c:pt idx="179">
                  <c:v>0</c:v>
                </c:pt>
                <c:pt idx="180">
                  <c:v>4</c:v>
                </c:pt>
                <c:pt idx="181">
                  <c:v>2</c:v>
                </c:pt>
                <c:pt idx="182">
                  <c:v>0</c:v>
                </c:pt>
                <c:pt idx="183">
                  <c:v>206</c:v>
                </c:pt>
                <c:pt idx="184">
                  <c:v>19</c:v>
                </c:pt>
                <c:pt idx="185">
                  <c:v>2</c:v>
                </c:pt>
                <c:pt idx="186">
                  <c:v>551</c:v>
                </c:pt>
                <c:pt idx="187">
                  <c:v>1384</c:v>
                </c:pt>
                <c:pt idx="188">
                  <c:v>2</c:v>
                </c:pt>
                <c:pt idx="189">
                  <c:v>3511</c:v>
                </c:pt>
                <c:pt idx="190">
                  <c:v>1559</c:v>
                </c:pt>
                <c:pt idx="191">
                  <c:v>615</c:v>
                </c:pt>
                <c:pt idx="192">
                  <c:v>35</c:v>
                </c:pt>
                <c:pt idx="193">
                  <c:v>351</c:v>
                </c:pt>
                <c:pt idx="194">
                  <c:v>317</c:v>
                </c:pt>
                <c:pt idx="195">
                  <c:v>391</c:v>
                </c:pt>
                <c:pt idx="196">
                  <c:v>479</c:v>
                </c:pt>
                <c:pt idx="197">
                  <c:v>251</c:v>
                </c:pt>
                <c:pt idx="198">
                  <c:v>2116</c:v>
                </c:pt>
                <c:pt idx="199">
                  <c:v>1286</c:v>
                </c:pt>
                <c:pt idx="200">
                  <c:v>1442</c:v>
                </c:pt>
                <c:pt idx="201">
                  <c:v>61</c:v>
                </c:pt>
                <c:pt idx="202">
                  <c:v>253</c:v>
                </c:pt>
                <c:pt idx="203">
                  <c:v>148</c:v>
                </c:pt>
                <c:pt idx="204">
                  <c:v>259</c:v>
                </c:pt>
                <c:pt idx="205">
                  <c:v>937</c:v>
                </c:pt>
                <c:pt idx="206">
                  <c:v>925</c:v>
                </c:pt>
                <c:pt idx="207">
                  <c:v>1476</c:v>
                </c:pt>
                <c:pt idx="208">
                  <c:v>518</c:v>
                </c:pt>
                <c:pt idx="209">
                  <c:v>222</c:v>
                </c:pt>
                <c:pt idx="210">
                  <c:v>264</c:v>
                </c:pt>
                <c:pt idx="211">
                  <c:v>459</c:v>
                </c:pt>
                <c:pt idx="212">
                  <c:v>4915</c:v>
                </c:pt>
                <c:pt idx="213">
                  <c:v>111</c:v>
                </c:pt>
                <c:pt idx="214">
                  <c:v>199</c:v>
                </c:pt>
                <c:pt idx="215">
                  <c:v>131</c:v>
                </c:pt>
                <c:pt idx="216">
                  <c:v>181</c:v>
                </c:pt>
                <c:pt idx="217">
                  <c:v>131</c:v>
                </c:pt>
                <c:pt idx="218">
                  <c:v>126</c:v>
                </c:pt>
                <c:pt idx="219">
                  <c:v>107</c:v>
                </c:pt>
                <c:pt idx="220">
                  <c:v>2112</c:v>
                </c:pt>
                <c:pt idx="221">
                  <c:v>2850</c:v>
                </c:pt>
                <c:pt idx="222">
                  <c:v>1791</c:v>
                </c:pt>
                <c:pt idx="223">
                  <c:v>1758</c:v>
                </c:pt>
                <c:pt idx="224">
                  <c:v>2600</c:v>
                </c:pt>
                <c:pt idx="225">
                  <c:v>3415</c:v>
                </c:pt>
                <c:pt idx="226">
                  <c:v>3640</c:v>
                </c:pt>
                <c:pt idx="227">
                  <c:v>3226</c:v>
                </c:pt>
                <c:pt idx="228">
                  <c:v>2170</c:v>
                </c:pt>
                <c:pt idx="229">
                  <c:v>3948</c:v>
                </c:pt>
                <c:pt idx="230">
                  <c:v>852</c:v>
                </c:pt>
                <c:pt idx="231">
                  <c:v>1904</c:v>
                </c:pt>
                <c:pt idx="232">
                  <c:v>2448</c:v>
                </c:pt>
                <c:pt idx="233">
                  <c:v>1302</c:v>
                </c:pt>
                <c:pt idx="234">
                  <c:v>1160</c:v>
                </c:pt>
                <c:pt idx="235">
                  <c:v>865</c:v>
                </c:pt>
                <c:pt idx="236">
                  <c:v>1103</c:v>
                </c:pt>
                <c:pt idx="237">
                  <c:v>1479</c:v>
                </c:pt>
                <c:pt idx="238">
                  <c:v>4</c:v>
                </c:pt>
                <c:pt idx="239">
                  <c:v>12</c:v>
                </c:pt>
                <c:pt idx="240">
                  <c:v>597</c:v>
                </c:pt>
                <c:pt idx="241">
                  <c:v>8</c:v>
                </c:pt>
                <c:pt idx="242">
                  <c:v>39</c:v>
                </c:pt>
                <c:pt idx="243">
                  <c:v>393</c:v>
                </c:pt>
                <c:pt idx="244">
                  <c:v>340</c:v>
                </c:pt>
                <c:pt idx="245">
                  <c:v>1340</c:v>
                </c:pt>
                <c:pt idx="246">
                  <c:v>1251</c:v>
                </c:pt>
                <c:pt idx="247">
                  <c:v>3577</c:v>
                </c:pt>
                <c:pt idx="248">
                  <c:v>3484</c:v>
                </c:pt>
                <c:pt idx="249">
                  <c:v>229</c:v>
                </c:pt>
                <c:pt idx="250">
                  <c:v>804</c:v>
                </c:pt>
                <c:pt idx="251">
                  <c:v>207</c:v>
                </c:pt>
                <c:pt idx="252">
                  <c:v>279</c:v>
                </c:pt>
                <c:pt idx="253">
                  <c:v>311</c:v>
                </c:pt>
                <c:pt idx="254">
                  <c:v>27</c:v>
                </c:pt>
                <c:pt idx="255">
                  <c:v>25</c:v>
                </c:pt>
                <c:pt idx="256">
                  <c:v>23</c:v>
                </c:pt>
                <c:pt idx="257">
                  <c:v>39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43</c:v>
                </c:pt>
                <c:pt idx="264">
                  <c:v>8</c:v>
                </c:pt>
                <c:pt idx="265">
                  <c:v>32</c:v>
                </c:pt>
                <c:pt idx="266">
                  <c:v>86</c:v>
                </c:pt>
                <c:pt idx="267">
                  <c:v>189</c:v>
                </c:pt>
                <c:pt idx="268">
                  <c:v>29</c:v>
                </c:pt>
                <c:pt idx="269">
                  <c:v>284</c:v>
                </c:pt>
                <c:pt idx="270">
                  <c:v>91</c:v>
                </c:pt>
                <c:pt idx="271">
                  <c:v>17</c:v>
                </c:pt>
                <c:pt idx="272">
                  <c:v>4</c:v>
                </c:pt>
                <c:pt idx="273">
                  <c:v>64</c:v>
                </c:pt>
                <c:pt idx="274">
                  <c:v>48</c:v>
                </c:pt>
                <c:pt idx="275">
                  <c:v>0</c:v>
                </c:pt>
                <c:pt idx="276">
                  <c:v>304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2</c:v>
                </c:pt>
                <c:pt idx="281">
                  <c:v>600</c:v>
                </c:pt>
                <c:pt idx="282">
                  <c:v>115</c:v>
                </c:pt>
                <c:pt idx="283">
                  <c:v>944</c:v>
                </c:pt>
                <c:pt idx="284">
                  <c:v>921</c:v>
                </c:pt>
                <c:pt idx="285">
                  <c:v>656</c:v>
                </c:pt>
                <c:pt idx="286">
                  <c:v>1130</c:v>
                </c:pt>
                <c:pt idx="287">
                  <c:v>1219</c:v>
                </c:pt>
                <c:pt idx="288">
                  <c:v>15801</c:v>
                </c:pt>
                <c:pt idx="289">
                  <c:v>16009</c:v>
                </c:pt>
                <c:pt idx="290">
                  <c:v>14173</c:v>
                </c:pt>
                <c:pt idx="291">
                  <c:v>14050</c:v>
                </c:pt>
                <c:pt idx="292">
                  <c:v>14597</c:v>
                </c:pt>
                <c:pt idx="293">
                  <c:v>14921</c:v>
                </c:pt>
                <c:pt idx="294">
                  <c:v>2210</c:v>
                </c:pt>
                <c:pt idx="295">
                  <c:v>17115</c:v>
                </c:pt>
                <c:pt idx="296">
                  <c:v>16332</c:v>
                </c:pt>
                <c:pt idx="297">
                  <c:v>15104</c:v>
                </c:pt>
                <c:pt idx="298">
                  <c:v>1246</c:v>
                </c:pt>
                <c:pt idx="299">
                  <c:v>515</c:v>
                </c:pt>
                <c:pt idx="300">
                  <c:v>758</c:v>
                </c:pt>
                <c:pt idx="301">
                  <c:v>309</c:v>
                </c:pt>
                <c:pt idx="302">
                  <c:v>243</c:v>
                </c:pt>
                <c:pt idx="303">
                  <c:v>50</c:v>
                </c:pt>
                <c:pt idx="304">
                  <c:v>0</c:v>
                </c:pt>
                <c:pt idx="305">
                  <c:v>36</c:v>
                </c:pt>
                <c:pt idx="306">
                  <c:v>30</c:v>
                </c:pt>
                <c:pt idx="307">
                  <c:v>208</c:v>
                </c:pt>
                <c:pt idx="308">
                  <c:v>193</c:v>
                </c:pt>
                <c:pt idx="309">
                  <c:v>1</c:v>
                </c:pt>
                <c:pt idx="310">
                  <c:v>51</c:v>
                </c:pt>
                <c:pt idx="311">
                  <c:v>450</c:v>
                </c:pt>
                <c:pt idx="312">
                  <c:v>350</c:v>
                </c:pt>
                <c:pt idx="313">
                  <c:v>350</c:v>
                </c:pt>
                <c:pt idx="314">
                  <c:v>1572</c:v>
                </c:pt>
                <c:pt idx="315">
                  <c:v>3390</c:v>
                </c:pt>
                <c:pt idx="316">
                  <c:v>3131</c:v>
                </c:pt>
                <c:pt idx="317">
                  <c:v>2025</c:v>
                </c:pt>
                <c:pt idx="318">
                  <c:v>2837</c:v>
                </c:pt>
                <c:pt idx="319">
                  <c:v>1152</c:v>
                </c:pt>
                <c:pt idx="320">
                  <c:v>737</c:v>
                </c:pt>
                <c:pt idx="321">
                  <c:v>402</c:v>
                </c:pt>
                <c:pt idx="322">
                  <c:v>458</c:v>
                </c:pt>
                <c:pt idx="323">
                  <c:v>796</c:v>
                </c:pt>
                <c:pt idx="324">
                  <c:v>245</c:v>
                </c:pt>
                <c:pt idx="325">
                  <c:v>249</c:v>
                </c:pt>
                <c:pt idx="326">
                  <c:v>141</c:v>
                </c:pt>
                <c:pt idx="327">
                  <c:v>259</c:v>
                </c:pt>
                <c:pt idx="328">
                  <c:v>491</c:v>
                </c:pt>
                <c:pt idx="329">
                  <c:v>388</c:v>
                </c:pt>
                <c:pt idx="330">
                  <c:v>201</c:v>
                </c:pt>
                <c:pt idx="331">
                  <c:v>51</c:v>
                </c:pt>
                <c:pt idx="332">
                  <c:v>0</c:v>
                </c:pt>
                <c:pt idx="333">
                  <c:v>1</c:v>
                </c:pt>
                <c:pt idx="334">
                  <c:v>31</c:v>
                </c:pt>
                <c:pt idx="335">
                  <c:v>710</c:v>
                </c:pt>
                <c:pt idx="336">
                  <c:v>860</c:v>
                </c:pt>
                <c:pt idx="337">
                  <c:v>1797</c:v>
                </c:pt>
                <c:pt idx="338">
                  <c:v>3</c:v>
                </c:pt>
                <c:pt idx="339">
                  <c:v>4</c:v>
                </c:pt>
                <c:pt idx="340">
                  <c:v>81</c:v>
                </c:pt>
                <c:pt idx="341">
                  <c:v>18</c:v>
                </c:pt>
                <c:pt idx="342">
                  <c:v>90</c:v>
                </c:pt>
                <c:pt idx="343">
                  <c:v>7</c:v>
                </c:pt>
                <c:pt idx="344">
                  <c:v>10</c:v>
                </c:pt>
                <c:pt idx="345">
                  <c:v>4564</c:v>
                </c:pt>
                <c:pt idx="346">
                  <c:v>182</c:v>
                </c:pt>
                <c:pt idx="347">
                  <c:v>8</c:v>
                </c:pt>
                <c:pt idx="348">
                  <c:v>104</c:v>
                </c:pt>
                <c:pt idx="349">
                  <c:v>6</c:v>
                </c:pt>
                <c:pt idx="350">
                  <c:v>13</c:v>
                </c:pt>
                <c:pt idx="351">
                  <c:v>4</c:v>
                </c:pt>
                <c:pt idx="352">
                  <c:v>6</c:v>
                </c:pt>
                <c:pt idx="353">
                  <c:v>35</c:v>
                </c:pt>
                <c:pt idx="354">
                  <c:v>12</c:v>
                </c:pt>
                <c:pt idx="355">
                  <c:v>2</c:v>
                </c:pt>
                <c:pt idx="356">
                  <c:v>151</c:v>
                </c:pt>
                <c:pt idx="357">
                  <c:v>11</c:v>
                </c:pt>
                <c:pt idx="358">
                  <c:v>82</c:v>
                </c:pt>
                <c:pt idx="359">
                  <c:v>93</c:v>
                </c:pt>
                <c:pt idx="360">
                  <c:v>55</c:v>
                </c:pt>
                <c:pt idx="361">
                  <c:v>220</c:v>
                </c:pt>
                <c:pt idx="362">
                  <c:v>1</c:v>
                </c:pt>
                <c:pt idx="363">
                  <c:v>0</c:v>
                </c:pt>
                <c:pt idx="364">
                  <c:v>2</c:v>
                </c:pt>
                <c:pt idx="365">
                  <c:v>40</c:v>
                </c:pt>
                <c:pt idx="366">
                  <c:v>14</c:v>
                </c:pt>
                <c:pt idx="367">
                  <c:v>34</c:v>
                </c:pt>
                <c:pt idx="368">
                  <c:v>42</c:v>
                </c:pt>
                <c:pt idx="369">
                  <c:v>7</c:v>
                </c:pt>
                <c:pt idx="370">
                  <c:v>26</c:v>
                </c:pt>
                <c:pt idx="371">
                  <c:v>27</c:v>
                </c:pt>
                <c:pt idx="372">
                  <c:v>643</c:v>
                </c:pt>
                <c:pt idx="373">
                  <c:v>5</c:v>
                </c:pt>
                <c:pt idx="374">
                  <c:v>5</c:v>
                </c:pt>
                <c:pt idx="375">
                  <c:v>6</c:v>
                </c:pt>
                <c:pt idx="376">
                  <c:v>212</c:v>
                </c:pt>
                <c:pt idx="377">
                  <c:v>230</c:v>
                </c:pt>
                <c:pt idx="378">
                  <c:v>213</c:v>
                </c:pt>
                <c:pt idx="379">
                  <c:v>306</c:v>
                </c:pt>
                <c:pt idx="380">
                  <c:v>207</c:v>
                </c:pt>
                <c:pt idx="381">
                  <c:v>28</c:v>
                </c:pt>
                <c:pt idx="382">
                  <c:v>1203</c:v>
                </c:pt>
                <c:pt idx="383">
                  <c:v>504</c:v>
                </c:pt>
                <c:pt idx="384">
                  <c:v>405</c:v>
                </c:pt>
                <c:pt idx="385">
                  <c:v>407</c:v>
                </c:pt>
                <c:pt idx="386">
                  <c:v>6</c:v>
                </c:pt>
                <c:pt idx="387">
                  <c:v>7</c:v>
                </c:pt>
                <c:pt idx="388">
                  <c:v>6</c:v>
                </c:pt>
                <c:pt idx="389">
                  <c:v>329</c:v>
                </c:pt>
                <c:pt idx="390">
                  <c:v>16</c:v>
                </c:pt>
                <c:pt idx="391">
                  <c:v>97</c:v>
                </c:pt>
                <c:pt idx="392">
                  <c:v>55</c:v>
                </c:pt>
                <c:pt idx="393">
                  <c:v>29</c:v>
                </c:pt>
                <c:pt idx="394">
                  <c:v>87</c:v>
                </c:pt>
                <c:pt idx="395">
                  <c:v>3</c:v>
                </c:pt>
                <c:pt idx="396">
                  <c:v>102</c:v>
                </c:pt>
                <c:pt idx="397">
                  <c:v>96</c:v>
                </c:pt>
                <c:pt idx="398">
                  <c:v>0</c:v>
                </c:pt>
                <c:pt idx="399">
                  <c:v>24</c:v>
                </c:pt>
                <c:pt idx="400">
                  <c:v>0</c:v>
                </c:pt>
                <c:pt idx="401">
                  <c:v>366</c:v>
                </c:pt>
                <c:pt idx="402">
                  <c:v>21</c:v>
                </c:pt>
                <c:pt idx="403">
                  <c:v>28</c:v>
                </c:pt>
                <c:pt idx="404">
                  <c:v>1156</c:v>
                </c:pt>
                <c:pt idx="405">
                  <c:v>9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2</c:v>
                </c:pt>
                <c:pt idx="410">
                  <c:v>147</c:v>
                </c:pt>
                <c:pt idx="411">
                  <c:v>4058</c:v>
                </c:pt>
                <c:pt idx="412">
                  <c:v>227</c:v>
                </c:pt>
                <c:pt idx="413">
                  <c:v>6</c:v>
                </c:pt>
                <c:pt idx="414">
                  <c:v>1259</c:v>
                </c:pt>
                <c:pt idx="415">
                  <c:v>3</c:v>
                </c:pt>
                <c:pt idx="416">
                  <c:v>212</c:v>
                </c:pt>
                <c:pt idx="417">
                  <c:v>107</c:v>
                </c:pt>
                <c:pt idx="418">
                  <c:v>90</c:v>
                </c:pt>
                <c:pt idx="419">
                  <c:v>555</c:v>
                </c:pt>
                <c:pt idx="420">
                  <c:v>2822</c:v>
                </c:pt>
                <c:pt idx="421">
                  <c:v>42</c:v>
                </c:pt>
                <c:pt idx="422">
                  <c:v>1</c:v>
                </c:pt>
                <c:pt idx="423">
                  <c:v>0</c:v>
                </c:pt>
                <c:pt idx="424">
                  <c:v>19</c:v>
                </c:pt>
                <c:pt idx="425">
                  <c:v>14</c:v>
                </c:pt>
                <c:pt idx="426">
                  <c:v>18</c:v>
                </c:pt>
                <c:pt idx="427">
                  <c:v>18</c:v>
                </c:pt>
                <c:pt idx="428">
                  <c:v>14</c:v>
                </c:pt>
                <c:pt idx="429">
                  <c:v>8</c:v>
                </c:pt>
                <c:pt idx="430">
                  <c:v>119</c:v>
                </c:pt>
                <c:pt idx="431">
                  <c:v>86</c:v>
                </c:pt>
                <c:pt idx="432">
                  <c:v>83</c:v>
                </c:pt>
                <c:pt idx="433">
                  <c:v>20</c:v>
                </c:pt>
                <c:pt idx="434">
                  <c:v>82</c:v>
                </c:pt>
                <c:pt idx="435">
                  <c:v>399</c:v>
                </c:pt>
                <c:pt idx="436">
                  <c:v>3386</c:v>
                </c:pt>
                <c:pt idx="437">
                  <c:v>950</c:v>
                </c:pt>
                <c:pt idx="438">
                  <c:v>1215</c:v>
                </c:pt>
                <c:pt idx="439">
                  <c:v>1035</c:v>
                </c:pt>
                <c:pt idx="440">
                  <c:v>1058</c:v>
                </c:pt>
                <c:pt idx="441">
                  <c:v>179</c:v>
                </c:pt>
                <c:pt idx="442">
                  <c:v>324</c:v>
                </c:pt>
                <c:pt idx="443">
                  <c:v>475</c:v>
                </c:pt>
                <c:pt idx="444">
                  <c:v>711</c:v>
                </c:pt>
                <c:pt idx="445">
                  <c:v>726</c:v>
                </c:pt>
                <c:pt idx="446">
                  <c:v>426</c:v>
                </c:pt>
                <c:pt idx="447">
                  <c:v>765</c:v>
                </c:pt>
                <c:pt idx="448">
                  <c:v>1414</c:v>
                </c:pt>
                <c:pt idx="449">
                  <c:v>1318</c:v>
                </c:pt>
                <c:pt idx="450">
                  <c:v>1361</c:v>
                </c:pt>
                <c:pt idx="451">
                  <c:v>3153</c:v>
                </c:pt>
                <c:pt idx="452">
                  <c:v>1846</c:v>
                </c:pt>
                <c:pt idx="453">
                  <c:v>2837</c:v>
                </c:pt>
                <c:pt idx="454">
                  <c:v>2870</c:v>
                </c:pt>
                <c:pt idx="455">
                  <c:v>4159</c:v>
                </c:pt>
                <c:pt idx="456">
                  <c:v>2968</c:v>
                </c:pt>
                <c:pt idx="457">
                  <c:v>2935</c:v>
                </c:pt>
                <c:pt idx="458">
                  <c:v>2166</c:v>
                </c:pt>
                <c:pt idx="459">
                  <c:v>2389</c:v>
                </c:pt>
                <c:pt idx="460">
                  <c:v>4821</c:v>
                </c:pt>
                <c:pt idx="461">
                  <c:v>2279</c:v>
                </c:pt>
                <c:pt idx="462">
                  <c:v>2181</c:v>
                </c:pt>
                <c:pt idx="463">
                  <c:v>4562</c:v>
                </c:pt>
                <c:pt idx="464">
                  <c:v>4007</c:v>
                </c:pt>
                <c:pt idx="465">
                  <c:v>3500</c:v>
                </c:pt>
                <c:pt idx="466">
                  <c:v>1859</c:v>
                </c:pt>
                <c:pt idx="467">
                  <c:v>2729</c:v>
                </c:pt>
                <c:pt idx="468">
                  <c:v>2852</c:v>
                </c:pt>
                <c:pt idx="469">
                  <c:v>3261</c:v>
                </c:pt>
                <c:pt idx="470">
                  <c:v>1317</c:v>
                </c:pt>
                <c:pt idx="471">
                  <c:v>1207</c:v>
                </c:pt>
                <c:pt idx="472">
                  <c:v>1281</c:v>
                </c:pt>
                <c:pt idx="473">
                  <c:v>1242</c:v>
                </c:pt>
                <c:pt idx="474">
                  <c:v>1246</c:v>
                </c:pt>
                <c:pt idx="475">
                  <c:v>7735</c:v>
                </c:pt>
                <c:pt idx="476">
                  <c:v>1624</c:v>
                </c:pt>
                <c:pt idx="477">
                  <c:v>1825</c:v>
                </c:pt>
                <c:pt idx="478">
                  <c:v>1980</c:v>
                </c:pt>
                <c:pt idx="479">
                  <c:v>2042</c:v>
                </c:pt>
                <c:pt idx="480">
                  <c:v>3728</c:v>
                </c:pt>
                <c:pt idx="481">
                  <c:v>3083</c:v>
                </c:pt>
                <c:pt idx="482">
                  <c:v>2311</c:v>
                </c:pt>
                <c:pt idx="483">
                  <c:v>2675</c:v>
                </c:pt>
                <c:pt idx="484">
                  <c:v>2402</c:v>
                </c:pt>
                <c:pt idx="485">
                  <c:v>2590</c:v>
                </c:pt>
                <c:pt idx="486">
                  <c:v>1883</c:v>
                </c:pt>
                <c:pt idx="487">
                  <c:v>1697</c:v>
                </c:pt>
                <c:pt idx="488">
                  <c:v>1702</c:v>
                </c:pt>
                <c:pt idx="489">
                  <c:v>1722</c:v>
                </c:pt>
                <c:pt idx="490">
                  <c:v>2705</c:v>
                </c:pt>
                <c:pt idx="491">
                  <c:v>4638</c:v>
                </c:pt>
                <c:pt idx="492">
                  <c:v>8640</c:v>
                </c:pt>
                <c:pt idx="493">
                  <c:v>7002</c:v>
                </c:pt>
                <c:pt idx="494">
                  <c:v>7764</c:v>
                </c:pt>
                <c:pt idx="495">
                  <c:v>8142</c:v>
                </c:pt>
                <c:pt idx="496">
                  <c:v>9360</c:v>
                </c:pt>
                <c:pt idx="497">
                  <c:v>8040</c:v>
                </c:pt>
                <c:pt idx="498">
                  <c:v>7407</c:v>
                </c:pt>
                <c:pt idx="499">
                  <c:v>8953</c:v>
                </c:pt>
                <c:pt idx="500">
                  <c:v>8417</c:v>
                </c:pt>
                <c:pt idx="501">
                  <c:v>5372</c:v>
                </c:pt>
                <c:pt idx="502">
                  <c:v>4517</c:v>
                </c:pt>
                <c:pt idx="503">
                  <c:v>4549</c:v>
                </c:pt>
                <c:pt idx="504">
                  <c:v>7046</c:v>
                </c:pt>
                <c:pt idx="505">
                  <c:v>7751</c:v>
                </c:pt>
                <c:pt idx="506">
                  <c:v>7546</c:v>
                </c:pt>
                <c:pt idx="507">
                  <c:v>6341</c:v>
                </c:pt>
                <c:pt idx="508">
                  <c:v>6131</c:v>
                </c:pt>
                <c:pt idx="509">
                  <c:v>6225</c:v>
                </c:pt>
                <c:pt idx="510">
                  <c:v>4321</c:v>
                </c:pt>
                <c:pt idx="511">
                  <c:v>17307</c:v>
                </c:pt>
                <c:pt idx="512">
                  <c:v>14823</c:v>
                </c:pt>
                <c:pt idx="513">
                  <c:v>14825</c:v>
                </c:pt>
                <c:pt idx="514">
                  <c:v>15012</c:v>
                </c:pt>
                <c:pt idx="515">
                  <c:v>4780</c:v>
                </c:pt>
                <c:pt idx="516">
                  <c:v>1861</c:v>
                </c:pt>
                <c:pt idx="517">
                  <c:v>1391</c:v>
                </c:pt>
                <c:pt idx="518">
                  <c:v>1519</c:v>
                </c:pt>
                <c:pt idx="519">
                  <c:v>1912</c:v>
                </c:pt>
                <c:pt idx="520">
                  <c:v>3200</c:v>
                </c:pt>
                <c:pt idx="521">
                  <c:v>1496</c:v>
                </c:pt>
                <c:pt idx="522">
                  <c:v>2386</c:v>
                </c:pt>
                <c:pt idx="523">
                  <c:v>1640</c:v>
                </c:pt>
                <c:pt idx="524">
                  <c:v>2309</c:v>
                </c:pt>
                <c:pt idx="525">
                  <c:v>3317</c:v>
                </c:pt>
                <c:pt idx="526">
                  <c:v>3040</c:v>
                </c:pt>
                <c:pt idx="527">
                  <c:v>3323</c:v>
                </c:pt>
                <c:pt idx="528">
                  <c:v>3371</c:v>
                </c:pt>
                <c:pt idx="529">
                  <c:v>3620</c:v>
                </c:pt>
                <c:pt idx="530">
                  <c:v>3472</c:v>
                </c:pt>
                <c:pt idx="531">
                  <c:v>2940</c:v>
                </c:pt>
                <c:pt idx="532">
                  <c:v>2366</c:v>
                </c:pt>
                <c:pt idx="533">
                  <c:v>2167</c:v>
                </c:pt>
                <c:pt idx="534">
                  <c:v>1607</c:v>
                </c:pt>
                <c:pt idx="535">
                  <c:v>2047</c:v>
                </c:pt>
                <c:pt idx="536">
                  <c:v>1459</c:v>
                </c:pt>
                <c:pt idx="537">
                  <c:v>2799</c:v>
                </c:pt>
                <c:pt idx="538">
                  <c:v>1816</c:v>
                </c:pt>
                <c:pt idx="539">
                  <c:v>1933</c:v>
                </c:pt>
                <c:pt idx="540">
                  <c:v>1826</c:v>
                </c:pt>
                <c:pt idx="541">
                  <c:v>1602</c:v>
                </c:pt>
                <c:pt idx="542">
                  <c:v>1213</c:v>
                </c:pt>
                <c:pt idx="543">
                  <c:v>1105</c:v>
                </c:pt>
                <c:pt idx="544">
                  <c:v>1160</c:v>
                </c:pt>
                <c:pt idx="545">
                  <c:v>755</c:v>
                </c:pt>
                <c:pt idx="546">
                  <c:v>654</c:v>
                </c:pt>
                <c:pt idx="547">
                  <c:v>1436</c:v>
                </c:pt>
                <c:pt idx="548">
                  <c:v>1209</c:v>
                </c:pt>
                <c:pt idx="549">
                  <c:v>1303</c:v>
                </c:pt>
                <c:pt idx="550">
                  <c:v>1537</c:v>
                </c:pt>
                <c:pt idx="551">
                  <c:v>1074</c:v>
                </c:pt>
                <c:pt idx="552">
                  <c:v>1020</c:v>
                </c:pt>
                <c:pt idx="553">
                  <c:v>1078</c:v>
                </c:pt>
                <c:pt idx="554">
                  <c:v>4911</c:v>
                </c:pt>
                <c:pt idx="555">
                  <c:v>2963</c:v>
                </c:pt>
                <c:pt idx="556">
                  <c:v>572</c:v>
                </c:pt>
                <c:pt idx="557">
                  <c:v>783</c:v>
                </c:pt>
                <c:pt idx="558">
                  <c:v>1354</c:v>
                </c:pt>
                <c:pt idx="559">
                  <c:v>2193</c:v>
                </c:pt>
                <c:pt idx="560">
                  <c:v>25</c:v>
                </c:pt>
                <c:pt idx="561">
                  <c:v>575</c:v>
                </c:pt>
                <c:pt idx="562">
                  <c:v>632</c:v>
                </c:pt>
                <c:pt idx="563">
                  <c:v>15610</c:v>
                </c:pt>
                <c:pt idx="564">
                  <c:v>14730</c:v>
                </c:pt>
                <c:pt idx="565">
                  <c:v>1787</c:v>
                </c:pt>
                <c:pt idx="566">
                  <c:v>992</c:v>
                </c:pt>
                <c:pt idx="567">
                  <c:v>11784</c:v>
                </c:pt>
                <c:pt idx="568">
                  <c:v>11537</c:v>
                </c:pt>
                <c:pt idx="569">
                  <c:v>11036</c:v>
                </c:pt>
                <c:pt idx="570">
                  <c:v>1120</c:v>
                </c:pt>
                <c:pt idx="571">
                  <c:v>1285</c:v>
                </c:pt>
                <c:pt idx="572">
                  <c:v>834</c:v>
                </c:pt>
                <c:pt idx="573">
                  <c:v>535</c:v>
                </c:pt>
                <c:pt idx="574">
                  <c:v>395</c:v>
                </c:pt>
                <c:pt idx="575">
                  <c:v>287</c:v>
                </c:pt>
                <c:pt idx="576">
                  <c:v>2105</c:v>
                </c:pt>
                <c:pt idx="577">
                  <c:v>1615</c:v>
                </c:pt>
                <c:pt idx="578">
                  <c:v>1769</c:v>
                </c:pt>
                <c:pt idx="579">
                  <c:v>1616</c:v>
                </c:pt>
                <c:pt idx="580">
                  <c:v>1023</c:v>
                </c:pt>
                <c:pt idx="581">
                  <c:v>966</c:v>
                </c:pt>
                <c:pt idx="582">
                  <c:v>1395</c:v>
                </c:pt>
                <c:pt idx="583">
                  <c:v>1461</c:v>
                </c:pt>
                <c:pt idx="584">
                  <c:v>2040</c:v>
                </c:pt>
                <c:pt idx="585">
                  <c:v>1993</c:v>
                </c:pt>
                <c:pt idx="586">
                  <c:v>1791</c:v>
                </c:pt>
                <c:pt idx="587">
                  <c:v>1552</c:v>
                </c:pt>
                <c:pt idx="588">
                  <c:v>330</c:v>
                </c:pt>
                <c:pt idx="589">
                  <c:v>335</c:v>
                </c:pt>
                <c:pt idx="590">
                  <c:v>311</c:v>
                </c:pt>
                <c:pt idx="591">
                  <c:v>562</c:v>
                </c:pt>
                <c:pt idx="592">
                  <c:v>214</c:v>
                </c:pt>
                <c:pt idx="593">
                  <c:v>1613</c:v>
                </c:pt>
                <c:pt idx="594">
                  <c:v>256</c:v>
                </c:pt>
                <c:pt idx="595">
                  <c:v>619</c:v>
                </c:pt>
                <c:pt idx="596">
                  <c:v>606</c:v>
                </c:pt>
                <c:pt idx="597">
                  <c:v>638</c:v>
                </c:pt>
                <c:pt idx="598">
                  <c:v>983</c:v>
                </c:pt>
                <c:pt idx="599">
                  <c:v>1086</c:v>
                </c:pt>
                <c:pt idx="600">
                  <c:v>1031</c:v>
                </c:pt>
                <c:pt idx="601">
                  <c:v>1524</c:v>
                </c:pt>
                <c:pt idx="602">
                  <c:v>746</c:v>
                </c:pt>
                <c:pt idx="603">
                  <c:v>1537</c:v>
                </c:pt>
                <c:pt idx="604">
                  <c:v>1613</c:v>
                </c:pt>
                <c:pt idx="605">
                  <c:v>1645</c:v>
                </c:pt>
                <c:pt idx="606">
                  <c:v>1994</c:v>
                </c:pt>
                <c:pt idx="607">
                  <c:v>839</c:v>
                </c:pt>
                <c:pt idx="608">
                  <c:v>809</c:v>
                </c:pt>
                <c:pt idx="609">
                  <c:v>845</c:v>
                </c:pt>
                <c:pt idx="610">
                  <c:v>1216</c:v>
                </c:pt>
                <c:pt idx="611">
                  <c:v>2536</c:v>
                </c:pt>
                <c:pt idx="612">
                  <c:v>3876</c:v>
                </c:pt>
                <c:pt idx="613">
                  <c:v>3759</c:v>
                </c:pt>
                <c:pt idx="614">
                  <c:v>2065</c:v>
                </c:pt>
                <c:pt idx="615">
                  <c:v>2124</c:v>
                </c:pt>
                <c:pt idx="616">
                  <c:v>2291</c:v>
                </c:pt>
                <c:pt idx="617">
                  <c:v>3291</c:v>
                </c:pt>
                <c:pt idx="618">
                  <c:v>753</c:v>
                </c:pt>
                <c:pt idx="619">
                  <c:v>710</c:v>
                </c:pt>
                <c:pt idx="620">
                  <c:v>510</c:v>
                </c:pt>
                <c:pt idx="621">
                  <c:v>621</c:v>
                </c:pt>
                <c:pt idx="622">
                  <c:v>1338</c:v>
                </c:pt>
                <c:pt idx="623">
                  <c:v>1472</c:v>
                </c:pt>
                <c:pt idx="624">
                  <c:v>1949</c:v>
                </c:pt>
                <c:pt idx="625">
                  <c:v>2028</c:v>
                </c:pt>
                <c:pt idx="626">
                  <c:v>2383</c:v>
                </c:pt>
                <c:pt idx="627">
                  <c:v>789</c:v>
                </c:pt>
                <c:pt idx="628">
                  <c:v>1163</c:v>
                </c:pt>
                <c:pt idx="629">
                  <c:v>2979</c:v>
                </c:pt>
                <c:pt idx="630">
                  <c:v>4380</c:v>
                </c:pt>
                <c:pt idx="631">
                  <c:v>5820</c:v>
                </c:pt>
                <c:pt idx="632">
                  <c:v>1255</c:v>
                </c:pt>
                <c:pt idx="633">
                  <c:v>917</c:v>
                </c:pt>
                <c:pt idx="634">
                  <c:v>1470</c:v>
                </c:pt>
                <c:pt idx="635">
                  <c:v>2257</c:v>
                </c:pt>
                <c:pt idx="636">
                  <c:v>3097</c:v>
                </c:pt>
                <c:pt idx="637">
                  <c:v>5210</c:v>
                </c:pt>
                <c:pt idx="638">
                  <c:v>1018</c:v>
                </c:pt>
                <c:pt idx="639">
                  <c:v>706</c:v>
                </c:pt>
                <c:pt idx="640">
                  <c:v>303</c:v>
                </c:pt>
                <c:pt idx="641">
                  <c:v>380</c:v>
                </c:pt>
                <c:pt idx="642">
                  <c:v>1066</c:v>
                </c:pt>
                <c:pt idx="643">
                  <c:v>1060</c:v>
                </c:pt>
                <c:pt idx="644">
                  <c:v>1347</c:v>
                </c:pt>
                <c:pt idx="645">
                  <c:v>1341</c:v>
                </c:pt>
                <c:pt idx="646">
                  <c:v>1395</c:v>
                </c:pt>
                <c:pt idx="647">
                  <c:v>722</c:v>
                </c:pt>
                <c:pt idx="648">
                  <c:v>762</c:v>
                </c:pt>
                <c:pt idx="649">
                  <c:v>696</c:v>
                </c:pt>
                <c:pt idx="650">
                  <c:v>715</c:v>
                </c:pt>
                <c:pt idx="651">
                  <c:v>723</c:v>
                </c:pt>
                <c:pt idx="652">
                  <c:v>582</c:v>
                </c:pt>
                <c:pt idx="653">
                  <c:v>794</c:v>
                </c:pt>
                <c:pt idx="654">
                  <c:v>740</c:v>
                </c:pt>
                <c:pt idx="655">
                  <c:v>633</c:v>
                </c:pt>
                <c:pt idx="656">
                  <c:v>493</c:v>
                </c:pt>
                <c:pt idx="657">
                  <c:v>193</c:v>
                </c:pt>
                <c:pt idx="658">
                  <c:v>947</c:v>
                </c:pt>
                <c:pt idx="659">
                  <c:v>1184</c:v>
                </c:pt>
                <c:pt idx="660">
                  <c:v>836</c:v>
                </c:pt>
                <c:pt idx="661">
                  <c:v>1068</c:v>
                </c:pt>
                <c:pt idx="662">
                  <c:v>807</c:v>
                </c:pt>
                <c:pt idx="663">
                  <c:v>999</c:v>
                </c:pt>
                <c:pt idx="664">
                  <c:v>1013</c:v>
                </c:pt>
                <c:pt idx="665">
                  <c:v>1014</c:v>
                </c:pt>
                <c:pt idx="666">
                  <c:v>1079</c:v>
                </c:pt>
                <c:pt idx="667">
                  <c:v>509</c:v>
                </c:pt>
                <c:pt idx="668">
                  <c:v>562</c:v>
                </c:pt>
                <c:pt idx="669">
                  <c:v>911</c:v>
                </c:pt>
                <c:pt idx="670">
                  <c:v>907</c:v>
                </c:pt>
                <c:pt idx="671">
                  <c:v>891</c:v>
                </c:pt>
                <c:pt idx="672">
                  <c:v>779</c:v>
                </c:pt>
                <c:pt idx="673">
                  <c:v>953</c:v>
                </c:pt>
                <c:pt idx="674">
                  <c:v>949</c:v>
                </c:pt>
                <c:pt idx="675">
                  <c:v>1191</c:v>
                </c:pt>
                <c:pt idx="676">
                  <c:v>1172</c:v>
                </c:pt>
                <c:pt idx="677">
                  <c:v>864</c:v>
                </c:pt>
                <c:pt idx="678">
                  <c:v>975</c:v>
                </c:pt>
                <c:pt idx="679">
                  <c:v>677</c:v>
                </c:pt>
                <c:pt idx="680">
                  <c:v>732</c:v>
                </c:pt>
                <c:pt idx="681">
                  <c:v>643</c:v>
                </c:pt>
                <c:pt idx="682">
                  <c:v>370</c:v>
                </c:pt>
                <c:pt idx="683">
                  <c:v>571</c:v>
                </c:pt>
                <c:pt idx="684">
                  <c:v>590</c:v>
                </c:pt>
                <c:pt idx="685">
                  <c:v>556</c:v>
                </c:pt>
                <c:pt idx="686">
                  <c:v>523</c:v>
                </c:pt>
                <c:pt idx="687">
                  <c:v>641</c:v>
                </c:pt>
                <c:pt idx="688">
                  <c:v>850</c:v>
                </c:pt>
                <c:pt idx="689">
                  <c:v>891</c:v>
                </c:pt>
                <c:pt idx="690">
                  <c:v>928</c:v>
                </c:pt>
                <c:pt idx="691">
                  <c:v>2574</c:v>
                </c:pt>
                <c:pt idx="692">
                  <c:v>743</c:v>
                </c:pt>
                <c:pt idx="693">
                  <c:v>1069</c:v>
                </c:pt>
                <c:pt idx="694">
                  <c:v>1044</c:v>
                </c:pt>
                <c:pt idx="695">
                  <c:v>805</c:v>
                </c:pt>
                <c:pt idx="696">
                  <c:v>820</c:v>
                </c:pt>
                <c:pt idx="697">
                  <c:v>662</c:v>
                </c:pt>
                <c:pt idx="698">
                  <c:v>986</c:v>
                </c:pt>
                <c:pt idx="699">
                  <c:v>971</c:v>
                </c:pt>
                <c:pt idx="700">
                  <c:v>980</c:v>
                </c:pt>
                <c:pt idx="701">
                  <c:v>799</c:v>
                </c:pt>
                <c:pt idx="702">
                  <c:v>790</c:v>
                </c:pt>
                <c:pt idx="703">
                  <c:v>1589</c:v>
                </c:pt>
                <c:pt idx="704">
                  <c:v>2047</c:v>
                </c:pt>
                <c:pt idx="705">
                  <c:v>2398</c:v>
                </c:pt>
                <c:pt idx="706">
                  <c:v>2424</c:v>
                </c:pt>
                <c:pt idx="707">
                  <c:v>954</c:v>
                </c:pt>
                <c:pt idx="708">
                  <c:v>843</c:v>
                </c:pt>
                <c:pt idx="709">
                  <c:v>669</c:v>
                </c:pt>
                <c:pt idx="710">
                  <c:v>860</c:v>
                </c:pt>
                <c:pt idx="711">
                  <c:v>419</c:v>
                </c:pt>
                <c:pt idx="712">
                  <c:v>748</c:v>
                </c:pt>
                <c:pt idx="713">
                  <c:v>867</c:v>
                </c:pt>
                <c:pt idx="714">
                  <c:v>1291</c:v>
                </c:pt>
                <c:pt idx="715">
                  <c:v>1965</c:v>
                </c:pt>
                <c:pt idx="716">
                  <c:v>1923</c:v>
                </c:pt>
                <c:pt idx="717">
                  <c:v>921</c:v>
                </c:pt>
                <c:pt idx="718">
                  <c:v>955</c:v>
                </c:pt>
                <c:pt idx="719">
                  <c:v>1035</c:v>
                </c:pt>
                <c:pt idx="720">
                  <c:v>1123</c:v>
                </c:pt>
                <c:pt idx="721">
                  <c:v>946</c:v>
                </c:pt>
                <c:pt idx="722">
                  <c:v>592</c:v>
                </c:pt>
                <c:pt idx="723">
                  <c:v>527</c:v>
                </c:pt>
                <c:pt idx="724">
                  <c:v>316</c:v>
                </c:pt>
                <c:pt idx="725">
                  <c:v>251</c:v>
                </c:pt>
                <c:pt idx="726">
                  <c:v>661</c:v>
                </c:pt>
                <c:pt idx="727">
                  <c:v>7751</c:v>
                </c:pt>
                <c:pt idx="728">
                  <c:v>408</c:v>
                </c:pt>
                <c:pt idx="729">
                  <c:v>514</c:v>
                </c:pt>
                <c:pt idx="730">
                  <c:v>503</c:v>
                </c:pt>
                <c:pt idx="731">
                  <c:v>483</c:v>
                </c:pt>
                <c:pt idx="732">
                  <c:v>502</c:v>
                </c:pt>
                <c:pt idx="733">
                  <c:v>372</c:v>
                </c:pt>
                <c:pt idx="734">
                  <c:v>881</c:v>
                </c:pt>
                <c:pt idx="735">
                  <c:v>771</c:v>
                </c:pt>
                <c:pt idx="736">
                  <c:v>842</c:v>
                </c:pt>
                <c:pt idx="737">
                  <c:v>1572</c:v>
                </c:pt>
                <c:pt idx="738">
                  <c:v>1872</c:v>
                </c:pt>
                <c:pt idx="739">
                  <c:v>1822</c:v>
                </c:pt>
                <c:pt idx="740">
                  <c:v>1850</c:v>
                </c:pt>
                <c:pt idx="741">
                  <c:v>1835</c:v>
                </c:pt>
                <c:pt idx="742">
                  <c:v>1867</c:v>
                </c:pt>
                <c:pt idx="743">
                  <c:v>1984</c:v>
                </c:pt>
                <c:pt idx="744">
                  <c:v>2433</c:v>
                </c:pt>
                <c:pt idx="745">
                  <c:v>2431</c:v>
                </c:pt>
                <c:pt idx="746">
                  <c:v>2458</c:v>
                </c:pt>
                <c:pt idx="747">
                  <c:v>645</c:v>
                </c:pt>
                <c:pt idx="748">
                  <c:v>1728</c:v>
                </c:pt>
                <c:pt idx="749">
                  <c:v>1907</c:v>
                </c:pt>
                <c:pt idx="750">
                  <c:v>1685</c:v>
                </c:pt>
                <c:pt idx="751">
                  <c:v>1656</c:v>
                </c:pt>
                <c:pt idx="752">
                  <c:v>665</c:v>
                </c:pt>
                <c:pt idx="753">
                  <c:v>585</c:v>
                </c:pt>
                <c:pt idx="754">
                  <c:v>562</c:v>
                </c:pt>
                <c:pt idx="755">
                  <c:v>569</c:v>
                </c:pt>
                <c:pt idx="756">
                  <c:v>507</c:v>
                </c:pt>
                <c:pt idx="757">
                  <c:v>1398</c:v>
                </c:pt>
                <c:pt idx="758">
                  <c:v>1396</c:v>
                </c:pt>
                <c:pt idx="759">
                  <c:v>262</c:v>
                </c:pt>
                <c:pt idx="760">
                  <c:v>520</c:v>
                </c:pt>
                <c:pt idx="761">
                  <c:v>75</c:v>
                </c:pt>
                <c:pt idx="762">
                  <c:v>913</c:v>
                </c:pt>
                <c:pt idx="763">
                  <c:v>1941</c:v>
                </c:pt>
                <c:pt idx="764">
                  <c:v>13871</c:v>
                </c:pt>
                <c:pt idx="765">
                  <c:v>16251</c:v>
                </c:pt>
                <c:pt idx="766">
                  <c:v>15998</c:v>
                </c:pt>
                <c:pt idx="767">
                  <c:v>3362</c:v>
                </c:pt>
                <c:pt idx="768">
                  <c:v>587</c:v>
                </c:pt>
                <c:pt idx="769">
                  <c:v>120</c:v>
                </c:pt>
                <c:pt idx="770">
                  <c:v>130</c:v>
                </c:pt>
                <c:pt idx="771">
                  <c:v>127</c:v>
                </c:pt>
                <c:pt idx="772">
                  <c:v>105</c:v>
                </c:pt>
                <c:pt idx="773">
                  <c:v>121</c:v>
                </c:pt>
                <c:pt idx="774">
                  <c:v>0</c:v>
                </c:pt>
                <c:pt idx="775">
                  <c:v>192</c:v>
                </c:pt>
                <c:pt idx="776">
                  <c:v>151</c:v>
                </c:pt>
                <c:pt idx="777">
                  <c:v>1048</c:v>
                </c:pt>
                <c:pt idx="778">
                  <c:v>589</c:v>
                </c:pt>
                <c:pt idx="779">
                  <c:v>0</c:v>
                </c:pt>
                <c:pt idx="780">
                  <c:v>900</c:v>
                </c:pt>
                <c:pt idx="781">
                  <c:v>1032</c:v>
                </c:pt>
                <c:pt idx="782">
                  <c:v>1004</c:v>
                </c:pt>
                <c:pt idx="783">
                  <c:v>530</c:v>
                </c:pt>
                <c:pt idx="784">
                  <c:v>0</c:v>
                </c:pt>
                <c:pt idx="785">
                  <c:v>0</c:v>
                </c:pt>
                <c:pt idx="786">
                  <c:v>2</c:v>
                </c:pt>
                <c:pt idx="787">
                  <c:v>526</c:v>
                </c:pt>
                <c:pt idx="788">
                  <c:v>4</c:v>
                </c:pt>
                <c:pt idx="789">
                  <c:v>3010</c:v>
                </c:pt>
                <c:pt idx="790">
                  <c:v>335</c:v>
                </c:pt>
                <c:pt idx="791">
                  <c:v>7</c:v>
                </c:pt>
                <c:pt idx="792">
                  <c:v>116</c:v>
                </c:pt>
                <c:pt idx="793">
                  <c:v>105</c:v>
                </c:pt>
                <c:pt idx="794">
                  <c:v>2</c:v>
                </c:pt>
                <c:pt idx="795">
                  <c:v>16</c:v>
                </c:pt>
                <c:pt idx="796">
                  <c:v>0</c:v>
                </c:pt>
                <c:pt idx="797">
                  <c:v>42</c:v>
                </c:pt>
                <c:pt idx="798">
                  <c:v>27</c:v>
                </c:pt>
                <c:pt idx="799">
                  <c:v>23</c:v>
                </c:pt>
                <c:pt idx="800">
                  <c:v>122</c:v>
                </c:pt>
                <c:pt idx="801">
                  <c:v>1781</c:v>
                </c:pt>
                <c:pt idx="802">
                  <c:v>3516</c:v>
                </c:pt>
                <c:pt idx="803">
                  <c:v>5816</c:v>
                </c:pt>
                <c:pt idx="804">
                  <c:v>3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1325</c:v>
                </c:pt>
                <c:pt idx="810">
                  <c:v>255</c:v>
                </c:pt>
                <c:pt idx="811">
                  <c:v>483</c:v>
                </c:pt>
                <c:pt idx="812">
                  <c:v>3635</c:v>
                </c:pt>
                <c:pt idx="813">
                  <c:v>3490</c:v>
                </c:pt>
                <c:pt idx="814">
                  <c:v>48</c:v>
                </c:pt>
                <c:pt idx="815">
                  <c:v>206</c:v>
                </c:pt>
                <c:pt idx="816">
                  <c:v>15</c:v>
                </c:pt>
                <c:pt idx="817">
                  <c:v>24</c:v>
                </c:pt>
                <c:pt idx="818">
                  <c:v>16</c:v>
                </c:pt>
                <c:pt idx="819">
                  <c:v>197</c:v>
                </c:pt>
                <c:pt idx="820">
                  <c:v>17</c:v>
                </c:pt>
                <c:pt idx="821">
                  <c:v>12</c:v>
                </c:pt>
                <c:pt idx="822">
                  <c:v>34</c:v>
                </c:pt>
                <c:pt idx="823">
                  <c:v>12</c:v>
                </c:pt>
                <c:pt idx="824">
                  <c:v>686</c:v>
                </c:pt>
                <c:pt idx="825">
                  <c:v>148</c:v>
                </c:pt>
                <c:pt idx="826">
                  <c:v>212</c:v>
                </c:pt>
                <c:pt idx="827">
                  <c:v>1047</c:v>
                </c:pt>
                <c:pt idx="828">
                  <c:v>1777</c:v>
                </c:pt>
                <c:pt idx="829">
                  <c:v>368</c:v>
                </c:pt>
                <c:pt idx="830">
                  <c:v>1507</c:v>
                </c:pt>
                <c:pt idx="831">
                  <c:v>1507</c:v>
                </c:pt>
                <c:pt idx="832">
                  <c:v>1507</c:v>
                </c:pt>
                <c:pt idx="833">
                  <c:v>1507</c:v>
                </c:pt>
                <c:pt idx="834">
                  <c:v>1507</c:v>
                </c:pt>
                <c:pt idx="835">
                  <c:v>746</c:v>
                </c:pt>
                <c:pt idx="836">
                  <c:v>233</c:v>
                </c:pt>
                <c:pt idx="837">
                  <c:v>20</c:v>
                </c:pt>
                <c:pt idx="838">
                  <c:v>19</c:v>
                </c:pt>
                <c:pt idx="839">
                  <c:v>19</c:v>
                </c:pt>
                <c:pt idx="840">
                  <c:v>19</c:v>
                </c:pt>
                <c:pt idx="841">
                  <c:v>19</c:v>
                </c:pt>
                <c:pt idx="842">
                  <c:v>588</c:v>
                </c:pt>
                <c:pt idx="843">
                  <c:v>1104</c:v>
                </c:pt>
                <c:pt idx="844">
                  <c:v>807</c:v>
                </c:pt>
                <c:pt idx="845">
                  <c:v>575</c:v>
                </c:pt>
                <c:pt idx="846">
                  <c:v>575</c:v>
                </c:pt>
                <c:pt idx="847">
                  <c:v>575</c:v>
                </c:pt>
                <c:pt idx="848">
                  <c:v>642</c:v>
                </c:pt>
                <c:pt idx="849">
                  <c:v>660</c:v>
                </c:pt>
                <c:pt idx="850">
                  <c:v>371</c:v>
                </c:pt>
                <c:pt idx="851">
                  <c:v>0</c:v>
                </c:pt>
                <c:pt idx="852">
                  <c:v>51</c:v>
                </c:pt>
                <c:pt idx="853">
                  <c:v>51</c:v>
                </c:pt>
                <c:pt idx="854">
                  <c:v>51</c:v>
                </c:pt>
                <c:pt idx="855">
                  <c:v>0</c:v>
                </c:pt>
                <c:pt idx="856">
                  <c:v>0</c:v>
                </c:pt>
                <c:pt idx="857">
                  <c:v>5267</c:v>
                </c:pt>
                <c:pt idx="858">
                  <c:v>2001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17</c:v>
                </c:pt>
                <c:pt idx="863">
                  <c:v>20</c:v>
                </c:pt>
                <c:pt idx="864">
                  <c:v>20</c:v>
                </c:pt>
                <c:pt idx="865">
                  <c:v>1785</c:v>
                </c:pt>
                <c:pt idx="866">
                  <c:v>1881</c:v>
                </c:pt>
                <c:pt idx="867">
                  <c:v>1881</c:v>
                </c:pt>
                <c:pt idx="868">
                  <c:v>1881</c:v>
                </c:pt>
                <c:pt idx="869">
                  <c:v>1823</c:v>
                </c:pt>
                <c:pt idx="870">
                  <c:v>1804</c:v>
                </c:pt>
                <c:pt idx="871">
                  <c:v>309</c:v>
                </c:pt>
                <c:pt idx="872">
                  <c:v>997</c:v>
                </c:pt>
                <c:pt idx="873">
                  <c:v>1197</c:v>
                </c:pt>
                <c:pt idx="874">
                  <c:v>1197</c:v>
                </c:pt>
                <c:pt idx="875">
                  <c:v>1197</c:v>
                </c:pt>
                <c:pt idx="876">
                  <c:v>1190</c:v>
                </c:pt>
                <c:pt idx="877">
                  <c:v>1112</c:v>
                </c:pt>
                <c:pt idx="878">
                  <c:v>91</c:v>
                </c:pt>
                <c:pt idx="879">
                  <c:v>106</c:v>
                </c:pt>
                <c:pt idx="880">
                  <c:v>122</c:v>
                </c:pt>
                <c:pt idx="881">
                  <c:v>122</c:v>
                </c:pt>
                <c:pt idx="882">
                  <c:v>122</c:v>
                </c:pt>
                <c:pt idx="883">
                  <c:v>190</c:v>
                </c:pt>
                <c:pt idx="884">
                  <c:v>206</c:v>
                </c:pt>
                <c:pt idx="885">
                  <c:v>406</c:v>
                </c:pt>
                <c:pt idx="886">
                  <c:v>497</c:v>
                </c:pt>
                <c:pt idx="887">
                  <c:v>506</c:v>
                </c:pt>
                <c:pt idx="888">
                  <c:v>506</c:v>
                </c:pt>
                <c:pt idx="889">
                  <c:v>506</c:v>
                </c:pt>
                <c:pt idx="890">
                  <c:v>236</c:v>
                </c:pt>
                <c:pt idx="891">
                  <c:v>279</c:v>
                </c:pt>
                <c:pt idx="892">
                  <c:v>52</c:v>
                </c:pt>
                <c:pt idx="893">
                  <c:v>916</c:v>
                </c:pt>
                <c:pt idx="894">
                  <c:v>24</c:v>
                </c:pt>
                <c:pt idx="895">
                  <c:v>24</c:v>
                </c:pt>
                <c:pt idx="896">
                  <c:v>24</c:v>
                </c:pt>
                <c:pt idx="897">
                  <c:v>151</c:v>
                </c:pt>
                <c:pt idx="898">
                  <c:v>34</c:v>
                </c:pt>
                <c:pt idx="899">
                  <c:v>23</c:v>
                </c:pt>
                <c:pt idx="900">
                  <c:v>1019</c:v>
                </c:pt>
                <c:pt idx="901">
                  <c:v>1063</c:v>
                </c:pt>
                <c:pt idx="902">
                  <c:v>1063</c:v>
                </c:pt>
                <c:pt idx="903">
                  <c:v>1063</c:v>
                </c:pt>
                <c:pt idx="904">
                  <c:v>1553</c:v>
                </c:pt>
                <c:pt idx="905">
                  <c:v>917</c:v>
                </c:pt>
                <c:pt idx="906">
                  <c:v>100</c:v>
                </c:pt>
                <c:pt idx="907">
                  <c:v>101</c:v>
                </c:pt>
                <c:pt idx="908">
                  <c:v>206</c:v>
                </c:pt>
                <c:pt idx="909">
                  <c:v>206</c:v>
                </c:pt>
                <c:pt idx="910">
                  <c:v>206</c:v>
                </c:pt>
                <c:pt idx="911">
                  <c:v>275</c:v>
                </c:pt>
                <c:pt idx="912">
                  <c:v>249</c:v>
                </c:pt>
                <c:pt idx="913">
                  <c:v>6543</c:v>
                </c:pt>
                <c:pt idx="914">
                  <c:v>3616</c:v>
                </c:pt>
                <c:pt idx="915">
                  <c:v>3545</c:v>
                </c:pt>
                <c:pt idx="916">
                  <c:v>3545</c:v>
                </c:pt>
                <c:pt idx="917">
                  <c:v>3545</c:v>
                </c:pt>
                <c:pt idx="918">
                  <c:v>5453</c:v>
                </c:pt>
                <c:pt idx="919">
                  <c:v>5504</c:v>
                </c:pt>
                <c:pt idx="920">
                  <c:v>50</c:v>
                </c:pt>
                <c:pt idx="921">
                  <c:v>13</c:v>
                </c:pt>
                <c:pt idx="922">
                  <c:v>29</c:v>
                </c:pt>
                <c:pt idx="923">
                  <c:v>29</c:v>
                </c:pt>
                <c:pt idx="924">
                  <c:v>29</c:v>
                </c:pt>
                <c:pt idx="925">
                  <c:v>275</c:v>
                </c:pt>
                <c:pt idx="926">
                  <c:v>147</c:v>
                </c:pt>
                <c:pt idx="927">
                  <c:v>461</c:v>
                </c:pt>
                <c:pt idx="928">
                  <c:v>52</c:v>
                </c:pt>
                <c:pt idx="929">
                  <c:v>438</c:v>
                </c:pt>
                <c:pt idx="930">
                  <c:v>438</c:v>
                </c:pt>
                <c:pt idx="931">
                  <c:v>438</c:v>
                </c:pt>
                <c:pt idx="932">
                  <c:v>620</c:v>
                </c:pt>
                <c:pt idx="933">
                  <c:v>635</c:v>
                </c:pt>
                <c:pt idx="934">
                  <c:v>278</c:v>
                </c:pt>
                <c:pt idx="935">
                  <c:v>182</c:v>
                </c:pt>
                <c:pt idx="936">
                  <c:v>135</c:v>
                </c:pt>
                <c:pt idx="937">
                  <c:v>76</c:v>
                </c:pt>
                <c:pt idx="938">
                  <c:v>93</c:v>
                </c:pt>
                <c:pt idx="939">
                  <c:v>0</c:v>
                </c:pt>
                <c:pt idx="940">
                  <c:v>17</c:v>
                </c:pt>
                <c:pt idx="941">
                  <c:v>18</c:v>
                </c:pt>
                <c:pt idx="942">
                  <c:v>154</c:v>
                </c:pt>
                <c:pt idx="943">
                  <c:v>18</c:v>
                </c:pt>
                <c:pt idx="944">
                  <c:v>18</c:v>
                </c:pt>
                <c:pt idx="945">
                  <c:v>18</c:v>
                </c:pt>
                <c:pt idx="946">
                  <c:v>154</c:v>
                </c:pt>
                <c:pt idx="947">
                  <c:v>39</c:v>
                </c:pt>
                <c:pt idx="948">
                  <c:v>1408</c:v>
                </c:pt>
                <c:pt idx="949">
                  <c:v>1068</c:v>
                </c:pt>
                <c:pt idx="950">
                  <c:v>729</c:v>
                </c:pt>
                <c:pt idx="951">
                  <c:v>729</c:v>
                </c:pt>
                <c:pt idx="952">
                  <c:v>729</c:v>
                </c:pt>
                <c:pt idx="953">
                  <c:v>582</c:v>
                </c:pt>
                <c:pt idx="954">
                  <c:v>28</c:v>
                </c:pt>
                <c:pt idx="955">
                  <c:v>25</c:v>
                </c:pt>
                <c:pt idx="956">
                  <c:v>169</c:v>
                </c:pt>
                <c:pt idx="957">
                  <c:v>19</c:v>
                </c:pt>
                <c:pt idx="958">
                  <c:v>19</c:v>
                </c:pt>
                <c:pt idx="959">
                  <c:v>19</c:v>
                </c:pt>
                <c:pt idx="960">
                  <c:v>20</c:v>
                </c:pt>
                <c:pt idx="961">
                  <c:v>21</c:v>
                </c:pt>
                <c:pt idx="962">
                  <c:v>36</c:v>
                </c:pt>
                <c:pt idx="963">
                  <c:v>16</c:v>
                </c:pt>
                <c:pt idx="964">
                  <c:v>212</c:v>
                </c:pt>
                <c:pt idx="965">
                  <c:v>212</c:v>
                </c:pt>
                <c:pt idx="966">
                  <c:v>212</c:v>
                </c:pt>
                <c:pt idx="967">
                  <c:v>202</c:v>
                </c:pt>
                <c:pt idx="968">
                  <c:v>311</c:v>
                </c:pt>
                <c:pt idx="969">
                  <c:v>86</c:v>
                </c:pt>
                <c:pt idx="970">
                  <c:v>94</c:v>
                </c:pt>
                <c:pt idx="971">
                  <c:v>111</c:v>
                </c:pt>
                <c:pt idx="972">
                  <c:v>111</c:v>
                </c:pt>
                <c:pt idx="973">
                  <c:v>111</c:v>
                </c:pt>
                <c:pt idx="974">
                  <c:v>76</c:v>
                </c:pt>
                <c:pt idx="975">
                  <c:v>39</c:v>
                </c:pt>
                <c:pt idx="976">
                  <c:v>6</c:v>
                </c:pt>
                <c:pt idx="977">
                  <c:v>7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140</c:v>
                </c:pt>
                <c:pt idx="982">
                  <c:v>229</c:v>
                </c:pt>
                <c:pt idx="983">
                  <c:v>1031</c:v>
                </c:pt>
                <c:pt idx="984">
                  <c:v>106</c:v>
                </c:pt>
                <c:pt idx="985">
                  <c:v>131</c:v>
                </c:pt>
                <c:pt idx="986">
                  <c:v>131</c:v>
                </c:pt>
                <c:pt idx="987">
                  <c:v>131</c:v>
                </c:pt>
                <c:pt idx="988">
                  <c:v>121</c:v>
                </c:pt>
                <c:pt idx="989">
                  <c:v>140</c:v>
                </c:pt>
                <c:pt idx="990">
                  <c:v>57</c:v>
                </c:pt>
                <c:pt idx="991">
                  <c:v>1545</c:v>
                </c:pt>
                <c:pt idx="992">
                  <c:v>2249</c:v>
                </c:pt>
                <c:pt idx="993">
                  <c:v>2249</c:v>
                </c:pt>
                <c:pt idx="994">
                  <c:v>2249</c:v>
                </c:pt>
                <c:pt idx="995">
                  <c:v>1700</c:v>
                </c:pt>
                <c:pt idx="996">
                  <c:v>1472</c:v>
                </c:pt>
                <c:pt idx="997">
                  <c:v>0</c:v>
                </c:pt>
                <c:pt idx="998">
                  <c:v>60</c:v>
                </c:pt>
                <c:pt idx="999">
                  <c:v>67</c:v>
                </c:pt>
                <c:pt idx="1000">
                  <c:v>67</c:v>
                </c:pt>
                <c:pt idx="1001">
                  <c:v>67</c:v>
                </c:pt>
                <c:pt idx="1002">
                  <c:v>61</c:v>
                </c:pt>
                <c:pt idx="1003">
                  <c:v>86</c:v>
                </c:pt>
                <c:pt idx="1004">
                  <c:v>140</c:v>
                </c:pt>
                <c:pt idx="1005">
                  <c:v>570</c:v>
                </c:pt>
                <c:pt idx="1006">
                  <c:v>246</c:v>
                </c:pt>
                <c:pt idx="1007">
                  <c:v>246</c:v>
                </c:pt>
                <c:pt idx="1008">
                  <c:v>246</c:v>
                </c:pt>
                <c:pt idx="1009">
                  <c:v>110</c:v>
                </c:pt>
                <c:pt idx="1010">
                  <c:v>295</c:v>
                </c:pt>
                <c:pt idx="1011">
                  <c:v>125</c:v>
                </c:pt>
                <c:pt idx="1012">
                  <c:v>150</c:v>
                </c:pt>
                <c:pt idx="1013">
                  <c:v>120</c:v>
                </c:pt>
                <c:pt idx="1014">
                  <c:v>689</c:v>
                </c:pt>
                <c:pt idx="1015">
                  <c:v>25</c:v>
                </c:pt>
                <c:pt idx="1016">
                  <c:v>689</c:v>
                </c:pt>
                <c:pt idx="1017">
                  <c:v>25</c:v>
                </c:pt>
                <c:pt idx="1018">
                  <c:v>145</c:v>
                </c:pt>
                <c:pt idx="1019">
                  <c:v>138</c:v>
                </c:pt>
                <c:pt idx="1020">
                  <c:v>101</c:v>
                </c:pt>
                <c:pt idx="1021">
                  <c:v>101</c:v>
                </c:pt>
                <c:pt idx="1022">
                  <c:v>101</c:v>
                </c:pt>
                <c:pt idx="1023">
                  <c:v>66</c:v>
                </c:pt>
                <c:pt idx="1024">
                  <c:v>41</c:v>
                </c:pt>
                <c:pt idx="1025">
                  <c:v>100</c:v>
                </c:pt>
                <c:pt idx="1026">
                  <c:v>119</c:v>
                </c:pt>
                <c:pt idx="1027">
                  <c:v>314</c:v>
                </c:pt>
                <c:pt idx="1028">
                  <c:v>314</c:v>
                </c:pt>
                <c:pt idx="1029">
                  <c:v>314</c:v>
                </c:pt>
                <c:pt idx="1030">
                  <c:v>4</c:v>
                </c:pt>
                <c:pt idx="1031">
                  <c:v>9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136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2</c:v>
                </c:pt>
                <c:pt idx="1045">
                  <c:v>1</c:v>
                </c:pt>
                <c:pt idx="1046">
                  <c:v>45</c:v>
                </c:pt>
                <c:pt idx="1047">
                  <c:v>431</c:v>
                </c:pt>
                <c:pt idx="1048">
                  <c:v>24</c:v>
                </c:pt>
                <c:pt idx="1049">
                  <c:v>24</c:v>
                </c:pt>
                <c:pt idx="1050">
                  <c:v>24</c:v>
                </c:pt>
                <c:pt idx="1051">
                  <c:v>120</c:v>
                </c:pt>
                <c:pt idx="1052">
                  <c:v>315</c:v>
                </c:pt>
                <c:pt idx="1053">
                  <c:v>195</c:v>
                </c:pt>
                <c:pt idx="1054">
                  <c:v>255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12</c:v>
                </c:pt>
                <c:pt idx="1060">
                  <c:v>2</c:v>
                </c:pt>
                <c:pt idx="1061">
                  <c:v>4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2</c:v>
                </c:pt>
                <c:pt idx="1066">
                  <c:v>0</c:v>
                </c:pt>
                <c:pt idx="1067">
                  <c:v>230</c:v>
                </c:pt>
                <c:pt idx="1068">
                  <c:v>223</c:v>
                </c:pt>
                <c:pt idx="1069">
                  <c:v>181</c:v>
                </c:pt>
                <c:pt idx="1070">
                  <c:v>181</c:v>
                </c:pt>
                <c:pt idx="1071">
                  <c:v>181</c:v>
                </c:pt>
                <c:pt idx="1072">
                  <c:v>185</c:v>
                </c:pt>
                <c:pt idx="1073">
                  <c:v>158</c:v>
                </c:pt>
                <c:pt idx="1074">
                  <c:v>53</c:v>
                </c:pt>
                <c:pt idx="1075">
                  <c:v>11</c:v>
                </c:pt>
                <c:pt idx="1076">
                  <c:v>74</c:v>
                </c:pt>
                <c:pt idx="1077">
                  <c:v>74</c:v>
                </c:pt>
                <c:pt idx="1078">
                  <c:v>74</c:v>
                </c:pt>
                <c:pt idx="1079">
                  <c:v>105</c:v>
                </c:pt>
                <c:pt idx="1080">
                  <c:v>243</c:v>
                </c:pt>
                <c:pt idx="1081">
                  <c:v>483</c:v>
                </c:pt>
                <c:pt idx="1082">
                  <c:v>186</c:v>
                </c:pt>
                <c:pt idx="1083">
                  <c:v>158</c:v>
                </c:pt>
                <c:pt idx="1084">
                  <c:v>158</c:v>
                </c:pt>
                <c:pt idx="1085">
                  <c:v>158</c:v>
                </c:pt>
                <c:pt idx="1086">
                  <c:v>170</c:v>
                </c:pt>
                <c:pt idx="1087">
                  <c:v>256</c:v>
                </c:pt>
                <c:pt idx="1088">
                  <c:v>409</c:v>
                </c:pt>
                <c:pt idx="1089">
                  <c:v>206</c:v>
                </c:pt>
                <c:pt idx="1090">
                  <c:v>128</c:v>
                </c:pt>
                <c:pt idx="1091">
                  <c:v>128</c:v>
                </c:pt>
                <c:pt idx="1092">
                  <c:v>128</c:v>
                </c:pt>
                <c:pt idx="1093">
                  <c:v>142</c:v>
                </c:pt>
                <c:pt idx="1094">
                  <c:v>193</c:v>
                </c:pt>
                <c:pt idx="1095">
                  <c:v>125</c:v>
                </c:pt>
                <c:pt idx="1096">
                  <c:v>90</c:v>
                </c:pt>
                <c:pt idx="1097">
                  <c:v>341</c:v>
                </c:pt>
                <c:pt idx="1098">
                  <c:v>341</c:v>
                </c:pt>
                <c:pt idx="1099">
                  <c:v>341</c:v>
                </c:pt>
                <c:pt idx="1100">
                  <c:v>750</c:v>
                </c:pt>
                <c:pt idx="1101">
                  <c:v>445</c:v>
                </c:pt>
                <c:pt idx="1102">
                  <c:v>445</c:v>
                </c:pt>
                <c:pt idx="1103">
                  <c:v>445</c:v>
                </c:pt>
                <c:pt idx="1104">
                  <c:v>274</c:v>
                </c:pt>
                <c:pt idx="1105">
                  <c:v>274</c:v>
                </c:pt>
                <c:pt idx="1106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8-4EE6-9E22-503C563E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86432"/>
        <c:axId val="714396416"/>
      </c:areaChart>
      <c:lineChart>
        <c:grouping val="standard"/>
        <c:varyColors val="0"/>
        <c:ser>
          <c:idx val="0"/>
          <c:order val="1"/>
          <c:tx>
            <c:strRef>
              <c:f>'Standing Facilities'!$C$1</c:f>
              <c:strCache>
                <c:ptCount val="1"/>
                <c:pt idx="0">
                  <c:v>Deposit Facility (RHS)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'Standing Facilities'!$A$407:$A$1514</c:f>
              <c:numCache>
                <c:formatCode>m/d/yyyy</c:formatCode>
                <c:ptCount val="1108"/>
                <c:pt idx="0">
                  <c:v>40178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40229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40243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40275</c:v>
                </c:pt>
                <c:pt idx="67">
                  <c:v>40276</c:v>
                </c:pt>
                <c:pt idx="68">
                  <c:v>40277</c:v>
                </c:pt>
                <c:pt idx="69">
                  <c:v>40278</c:v>
                </c:pt>
                <c:pt idx="70">
                  <c:v>40281</c:v>
                </c:pt>
                <c:pt idx="71">
                  <c:v>40282</c:v>
                </c:pt>
                <c:pt idx="72">
                  <c:v>40283</c:v>
                </c:pt>
                <c:pt idx="73">
                  <c:v>40284</c:v>
                </c:pt>
                <c:pt idx="74">
                  <c:v>40287</c:v>
                </c:pt>
                <c:pt idx="75">
                  <c:v>40288</c:v>
                </c:pt>
                <c:pt idx="76">
                  <c:v>40289</c:v>
                </c:pt>
                <c:pt idx="77">
                  <c:v>40290</c:v>
                </c:pt>
                <c:pt idx="78">
                  <c:v>40291</c:v>
                </c:pt>
                <c:pt idx="79">
                  <c:v>40294</c:v>
                </c:pt>
                <c:pt idx="80">
                  <c:v>40295</c:v>
                </c:pt>
                <c:pt idx="81">
                  <c:v>40296</c:v>
                </c:pt>
                <c:pt idx="82">
                  <c:v>40297</c:v>
                </c:pt>
                <c:pt idx="83">
                  <c:v>40298</c:v>
                </c:pt>
                <c:pt idx="84">
                  <c:v>40301</c:v>
                </c:pt>
                <c:pt idx="85">
                  <c:v>40302</c:v>
                </c:pt>
                <c:pt idx="86">
                  <c:v>40303</c:v>
                </c:pt>
                <c:pt idx="87">
                  <c:v>40304</c:v>
                </c:pt>
                <c:pt idx="88">
                  <c:v>40305</c:v>
                </c:pt>
                <c:pt idx="89">
                  <c:v>40308</c:v>
                </c:pt>
                <c:pt idx="90">
                  <c:v>40309</c:v>
                </c:pt>
                <c:pt idx="91">
                  <c:v>40310</c:v>
                </c:pt>
                <c:pt idx="92">
                  <c:v>40311</c:v>
                </c:pt>
                <c:pt idx="93">
                  <c:v>40312</c:v>
                </c:pt>
                <c:pt idx="94">
                  <c:v>40315</c:v>
                </c:pt>
                <c:pt idx="95">
                  <c:v>40316</c:v>
                </c:pt>
                <c:pt idx="96">
                  <c:v>40317</c:v>
                </c:pt>
                <c:pt idx="97">
                  <c:v>40318</c:v>
                </c:pt>
                <c:pt idx="98">
                  <c:v>40319</c:v>
                </c:pt>
                <c:pt idx="99">
                  <c:v>40322</c:v>
                </c:pt>
                <c:pt idx="100">
                  <c:v>40323</c:v>
                </c:pt>
                <c:pt idx="101">
                  <c:v>40324</c:v>
                </c:pt>
                <c:pt idx="102">
                  <c:v>40325</c:v>
                </c:pt>
                <c:pt idx="103">
                  <c:v>40326</c:v>
                </c:pt>
                <c:pt idx="104">
                  <c:v>40329</c:v>
                </c:pt>
                <c:pt idx="105">
                  <c:v>40330</c:v>
                </c:pt>
                <c:pt idx="106">
                  <c:v>40331</c:v>
                </c:pt>
                <c:pt idx="107">
                  <c:v>40332</c:v>
                </c:pt>
                <c:pt idx="108">
                  <c:v>40333</c:v>
                </c:pt>
                <c:pt idx="109">
                  <c:v>40336</c:v>
                </c:pt>
                <c:pt idx="110">
                  <c:v>40337</c:v>
                </c:pt>
                <c:pt idx="111">
                  <c:v>40338</c:v>
                </c:pt>
                <c:pt idx="112">
                  <c:v>40339</c:v>
                </c:pt>
                <c:pt idx="113">
                  <c:v>40340</c:v>
                </c:pt>
                <c:pt idx="114">
                  <c:v>40343</c:v>
                </c:pt>
                <c:pt idx="115">
                  <c:v>40344</c:v>
                </c:pt>
                <c:pt idx="116">
                  <c:v>40345</c:v>
                </c:pt>
                <c:pt idx="117">
                  <c:v>40346</c:v>
                </c:pt>
                <c:pt idx="118">
                  <c:v>40347</c:v>
                </c:pt>
                <c:pt idx="119">
                  <c:v>40350</c:v>
                </c:pt>
                <c:pt idx="120">
                  <c:v>40351</c:v>
                </c:pt>
                <c:pt idx="121">
                  <c:v>40352</c:v>
                </c:pt>
                <c:pt idx="122">
                  <c:v>40353</c:v>
                </c:pt>
                <c:pt idx="123">
                  <c:v>40354</c:v>
                </c:pt>
                <c:pt idx="124">
                  <c:v>40357</c:v>
                </c:pt>
                <c:pt idx="125">
                  <c:v>40358</c:v>
                </c:pt>
                <c:pt idx="126">
                  <c:v>40359</c:v>
                </c:pt>
                <c:pt idx="127">
                  <c:v>40360</c:v>
                </c:pt>
                <c:pt idx="128">
                  <c:v>40361</c:v>
                </c:pt>
                <c:pt idx="129">
                  <c:v>40364</c:v>
                </c:pt>
                <c:pt idx="130">
                  <c:v>40365</c:v>
                </c:pt>
                <c:pt idx="131">
                  <c:v>40366</c:v>
                </c:pt>
                <c:pt idx="132">
                  <c:v>40367</c:v>
                </c:pt>
                <c:pt idx="133">
                  <c:v>40368</c:v>
                </c:pt>
                <c:pt idx="134">
                  <c:v>40371</c:v>
                </c:pt>
                <c:pt idx="135">
                  <c:v>40372</c:v>
                </c:pt>
                <c:pt idx="136">
                  <c:v>40373</c:v>
                </c:pt>
                <c:pt idx="137">
                  <c:v>40374</c:v>
                </c:pt>
                <c:pt idx="138">
                  <c:v>40375</c:v>
                </c:pt>
                <c:pt idx="139">
                  <c:v>40378</c:v>
                </c:pt>
                <c:pt idx="140">
                  <c:v>40379</c:v>
                </c:pt>
                <c:pt idx="141">
                  <c:v>40380</c:v>
                </c:pt>
                <c:pt idx="142">
                  <c:v>40381</c:v>
                </c:pt>
                <c:pt idx="143">
                  <c:v>40382</c:v>
                </c:pt>
                <c:pt idx="144">
                  <c:v>40385</c:v>
                </c:pt>
                <c:pt idx="145">
                  <c:v>40386</c:v>
                </c:pt>
                <c:pt idx="146">
                  <c:v>40387</c:v>
                </c:pt>
                <c:pt idx="147">
                  <c:v>40388</c:v>
                </c:pt>
                <c:pt idx="148">
                  <c:v>40389</c:v>
                </c:pt>
                <c:pt idx="149">
                  <c:v>40392</c:v>
                </c:pt>
                <c:pt idx="150">
                  <c:v>40393</c:v>
                </c:pt>
                <c:pt idx="151">
                  <c:v>40394</c:v>
                </c:pt>
                <c:pt idx="152">
                  <c:v>40395</c:v>
                </c:pt>
                <c:pt idx="153">
                  <c:v>40396</c:v>
                </c:pt>
                <c:pt idx="154">
                  <c:v>40399</c:v>
                </c:pt>
                <c:pt idx="155">
                  <c:v>40400</c:v>
                </c:pt>
                <c:pt idx="156">
                  <c:v>40401</c:v>
                </c:pt>
                <c:pt idx="157">
                  <c:v>40402</c:v>
                </c:pt>
                <c:pt idx="158">
                  <c:v>40403</c:v>
                </c:pt>
                <c:pt idx="159">
                  <c:v>40406</c:v>
                </c:pt>
                <c:pt idx="160">
                  <c:v>40407</c:v>
                </c:pt>
                <c:pt idx="161">
                  <c:v>40408</c:v>
                </c:pt>
                <c:pt idx="162">
                  <c:v>40409</c:v>
                </c:pt>
                <c:pt idx="163">
                  <c:v>40410</c:v>
                </c:pt>
                <c:pt idx="164">
                  <c:v>40413</c:v>
                </c:pt>
                <c:pt idx="165">
                  <c:v>40414</c:v>
                </c:pt>
                <c:pt idx="166">
                  <c:v>40415</c:v>
                </c:pt>
                <c:pt idx="167">
                  <c:v>40416</c:v>
                </c:pt>
                <c:pt idx="168">
                  <c:v>40417</c:v>
                </c:pt>
                <c:pt idx="169">
                  <c:v>40420</c:v>
                </c:pt>
                <c:pt idx="170">
                  <c:v>40421</c:v>
                </c:pt>
                <c:pt idx="171">
                  <c:v>40422</c:v>
                </c:pt>
                <c:pt idx="172">
                  <c:v>40423</c:v>
                </c:pt>
                <c:pt idx="173">
                  <c:v>40424</c:v>
                </c:pt>
                <c:pt idx="174">
                  <c:v>40427</c:v>
                </c:pt>
                <c:pt idx="175">
                  <c:v>40428</c:v>
                </c:pt>
                <c:pt idx="176">
                  <c:v>40429</c:v>
                </c:pt>
                <c:pt idx="177">
                  <c:v>40430</c:v>
                </c:pt>
                <c:pt idx="178">
                  <c:v>40431</c:v>
                </c:pt>
                <c:pt idx="179">
                  <c:v>40434</c:v>
                </c:pt>
                <c:pt idx="180">
                  <c:v>40435</c:v>
                </c:pt>
                <c:pt idx="181">
                  <c:v>40436</c:v>
                </c:pt>
                <c:pt idx="182">
                  <c:v>40437</c:v>
                </c:pt>
                <c:pt idx="183">
                  <c:v>40438</c:v>
                </c:pt>
                <c:pt idx="184">
                  <c:v>40441</c:v>
                </c:pt>
                <c:pt idx="185">
                  <c:v>40442</c:v>
                </c:pt>
                <c:pt idx="186">
                  <c:v>40443</c:v>
                </c:pt>
                <c:pt idx="187">
                  <c:v>40444</c:v>
                </c:pt>
                <c:pt idx="188">
                  <c:v>40449</c:v>
                </c:pt>
                <c:pt idx="189">
                  <c:v>40450</c:v>
                </c:pt>
                <c:pt idx="190">
                  <c:v>40451</c:v>
                </c:pt>
                <c:pt idx="191">
                  <c:v>40452</c:v>
                </c:pt>
                <c:pt idx="192">
                  <c:v>40455</c:v>
                </c:pt>
                <c:pt idx="193">
                  <c:v>40456</c:v>
                </c:pt>
                <c:pt idx="194">
                  <c:v>40457</c:v>
                </c:pt>
                <c:pt idx="195">
                  <c:v>40458</c:v>
                </c:pt>
                <c:pt idx="196">
                  <c:v>40459</c:v>
                </c:pt>
                <c:pt idx="197">
                  <c:v>40462</c:v>
                </c:pt>
                <c:pt idx="198">
                  <c:v>40463</c:v>
                </c:pt>
                <c:pt idx="199">
                  <c:v>40464</c:v>
                </c:pt>
                <c:pt idx="200">
                  <c:v>40465</c:v>
                </c:pt>
                <c:pt idx="201">
                  <c:v>40466</c:v>
                </c:pt>
                <c:pt idx="202">
                  <c:v>40469</c:v>
                </c:pt>
                <c:pt idx="203">
                  <c:v>40470</c:v>
                </c:pt>
                <c:pt idx="204">
                  <c:v>40471</c:v>
                </c:pt>
                <c:pt idx="205">
                  <c:v>40472</c:v>
                </c:pt>
                <c:pt idx="206">
                  <c:v>40473</c:v>
                </c:pt>
                <c:pt idx="207">
                  <c:v>40476</c:v>
                </c:pt>
                <c:pt idx="208">
                  <c:v>40477</c:v>
                </c:pt>
                <c:pt idx="209">
                  <c:v>40478</c:v>
                </c:pt>
                <c:pt idx="210">
                  <c:v>40479</c:v>
                </c:pt>
                <c:pt idx="211">
                  <c:v>40480</c:v>
                </c:pt>
                <c:pt idx="212">
                  <c:v>40483</c:v>
                </c:pt>
                <c:pt idx="213">
                  <c:v>40484</c:v>
                </c:pt>
                <c:pt idx="214">
                  <c:v>40485</c:v>
                </c:pt>
                <c:pt idx="215">
                  <c:v>40486</c:v>
                </c:pt>
                <c:pt idx="216">
                  <c:v>40487</c:v>
                </c:pt>
                <c:pt idx="217">
                  <c:v>40490</c:v>
                </c:pt>
                <c:pt idx="218">
                  <c:v>40491</c:v>
                </c:pt>
                <c:pt idx="219">
                  <c:v>40492</c:v>
                </c:pt>
                <c:pt idx="220">
                  <c:v>40493</c:v>
                </c:pt>
                <c:pt idx="221">
                  <c:v>40494</c:v>
                </c:pt>
                <c:pt idx="222">
                  <c:v>40497</c:v>
                </c:pt>
                <c:pt idx="223">
                  <c:v>40498</c:v>
                </c:pt>
                <c:pt idx="224">
                  <c:v>40499</c:v>
                </c:pt>
                <c:pt idx="225">
                  <c:v>40500</c:v>
                </c:pt>
                <c:pt idx="226">
                  <c:v>40501</c:v>
                </c:pt>
                <c:pt idx="227">
                  <c:v>40504</c:v>
                </c:pt>
                <c:pt idx="228">
                  <c:v>40505</c:v>
                </c:pt>
                <c:pt idx="229">
                  <c:v>40506</c:v>
                </c:pt>
                <c:pt idx="230">
                  <c:v>40507</c:v>
                </c:pt>
                <c:pt idx="231">
                  <c:v>40508</c:v>
                </c:pt>
                <c:pt idx="232">
                  <c:v>40511</c:v>
                </c:pt>
                <c:pt idx="233">
                  <c:v>40512</c:v>
                </c:pt>
                <c:pt idx="234">
                  <c:v>40513</c:v>
                </c:pt>
                <c:pt idx="235">
                  <c:v>40514</c:v>
                </c:pt>
                <c:pt idx="236">
                  <c:v>40515</c:v>
                </c:pt>
                <c:pt idx="237">
                  <c:v>40518</c:v>
                </c:pt>
                <c:pt idx="238">
                  <c:v>40519</c:v>
                </c:pt>
                <c:pt idx="239">
                  <c:v>40520</c:v>
                </c:pt>
                <c:pt idx="240">
                  <c:v>40521</c:v>
                </c:pt>
                <c:pt idx="241">
                  <c:v>40522</c:v>
                </c:pt>
                <c:pt idx="242">
                  <c:v>40525</c:v>
                </c:pt>
                <c:pt idx="243">
                  <c:v>40526</c:v>
                </c:pt>
                <c:pt idx="244">
                  <c:v>40527</c:v>
                </c:pt>
                <c:pt idx="245">
                  <c:v>40528</c:v>
                </c:pt>
                <c:pt idx="246">
                  <c:v>40529</c:v>
                </c:pt>
                <c:pt idx="247">
                  <c:v>40532</c:v>
                </c:pt>
                <c:pt idx="248">
                  <c:v>40533</c:v>
                </c:pt>
                <c:pt idx="249">
                  <c:v>40534</c:v>
                </c:pt>
                <c:pt idx="250">
                  <c:v>40535</c:v>
                </c:pt>
                <c:pt idx="251">
                  <c:v>40536</c:v>
                </c:pt>
                <c:pt idx="252">
                  <c:v>40539</c:v>
                </c:pt>
                <c:pt idx="253">
                  <c:v>40540</c:v>
                </c:pt>
                <c:pt idx="254">
                  <c:v>40541</c:v>
                </c:pt>
                <c:pt idx="255">
                  <c:v>40542</c:v>
                </c:pt>
                <c:pt idx="256">
                  <c:v>40543</c:v>
                </c:pt>
                <c:pt idx="257">
                  <c:v>40546</c:v>
                </c:pt>
                <c:pt idx="258">
                  <c:v>40547</c:v>
                </c:pt>
                <c:pt idx="259">
                  <c:v>40548</c:v>
                </c:pt>
                <c:pt idx="260">
                  <c:v>40549</c:v>
                </c:pt>
                <c:pt idx="261">
                  <c:v>40550</c:v>
                </c:pt>
                <c:pt idx="262">
                  <c:v>40553</c:v>
                </c:pt>
                <c:pt idx="263">
                  <c:v>40554</c:v>
                </c:pt>
                <c:pt idx="264">
                  <c:v>40555</c:v>
                </c:pt>
                <c:pt idx="265">
                  <c:v>40556</c:v>
                </c:pt>
                <c:pt idx="266">
                  <c:v>40557</c:v>
                </c:pt>
                <c:pt idx="267">
                  <c:v>40560</c:v>
                </c:pt>
                <c:pt idx="268">
                  <c:v>40561</c:v>
                </c:pt>
                <c:pt idx="269">
                  <c:v>40562</c:v>
                </c:pt>
                <c:pt idx="270">
                  <c:v>40563</c:v>
                </c:pt>
                <c:pt idx="271">
                  <c:v>40564</c:v>
                </c:pt>
                <c:pt idx="272">
                  <c:v>40567</c:v>
                </c:pt>
                <c:pt idx="273">
                  <c:v>40568</c:v>
                </c:pt>
                <c:pt idx="274">
                  <c:v>40569</c:v>
                </c:pt>
                <c:pt idx="275">
                  <c:v>40570</c:v>
                </c:pt>
                <c:pt idx="276">
                  <c:v>40571</c:v>
                </c:pt>
                <c:pt idx="277">
                  <c:v>40574</c:v>
                </c:pt>
                <c:pt idx="278">
                  <c:v>40575</c:v>
                </c:pt>
                <c:pt idx="279">
                  <c:v>40576</c:v>
                </c:pt>
                <c:pt idx="280">
                  <c:v>40577</c:v>
                </c:pt>
                <c:pt idx="281">
                  <c:v>40578</c:v>
                </c:pt>
                <c:pt idx="282">
                  <c:v>40581</c:v>
                </c:pt>
                <c:pt idx="283">
                  <c:v>40582</c:v>
                </c:pt>
                <c:pt idx="284">
                  <c:v>40583</c:v>
                </c:pt>
                <c:pt idx="285">
                  <c:v>40584</c:v>
                </c:pt>
                <c:pt idx="286">
                  <c:v>40585</c:v>
                </c:pt>
                <c:pt idx="287">
                  <c:v>40588</c:v>
                </c:pt>
                <c:pt idx="288">
                  <c:v>40589</c:v>
                </c:pt>
                <c:pt idx="289">
                  <c:v>40590</c:v>
                </c:pt>
                <c:pt idx="290">
                  <c:v>40591</c:v>
                </c:pt>
                <c:pt idx="291">
                  <c:v>40592</c:v>
                </c:pt>
                <c:pt idx="292">
                  <c:v>40595</c:v>
                </c:pt>
                <c:pt idx="293">
                  <c:v>40596</c:v>
                </c:pt>
                <c:pt idx="294">
                  <c:v>40597</c:v>
                </c:pt>
                <c:pt idx="295">
                  <c:v>40598</c:v>
                </c:pt>
                <c:pt idx="296">
                  <c:v>40599</c:v>
                </c:pt>
                <c:pt idx="297">
                  <c:v>40602</c:v>
                </c:pt>
                <c:pt idx="298">
                  <c:v>40603</c:v>
                </c:pt>
                <c:pt idx="299">
                  <c:v>40604</c:v>
                </c:pt>
                <c:pt idx="300">
                  <c:v>40605</c:v>
                </c:pt>
                <c:pt idx="301">
                  <c:v>40606</c:v>
                </c:pt>
                <c:pt idx="302">
                  <c:v>40609</c:v>
                </c:pt>
                <c:pt idx="303">
                  <c:v>40610</c:v>
                </c:pt>
                <c:pt idx="304">
                  <c:v>40611</c:v>
                </c:pt>
                <c:pt idx="305">
                  <c:v>40612</c:v>
                </c:pt>
                <c:pt idx="306">
                  <c:v>40613</c:v>
                </c:pt>
                <c:pt idx="307">
                  <c:v>40616</c:v>
                </c:pt>
                <c:pt idx="308">
                  <c:v>40617</c:v>
                </c:pt>
                <c:pt idx="309">
                  <c:v>40618</c:v>
                </c:pt>
                <c:pt idx="310">
                  <c:v>40619</c:v>
                </c:pt>
                <c:pt idx="311">
                  <c:v>40620</c:v>
                </c:pt>
                <c:pt idx="312">
                  <c:v>40623</c:v>
                </c:pt>
                <c:pt idx="313">
                  <c:v>40624</c:v>
                </c:pt>
                <c:pt idx="314">
                  <c:v>40625</c:v>
                </c:pt>
                <c:pt idx="315">
                  <c:v>40626</c:v>
                </c:pt>
                <c:pt idx="316">
                  <c:v>40627</c:v>
                </c:pt>
                <c:pt idx="317">
                  <c:v>40630</c:v>
                </c:pt>
                <c:pt idx="318">
                  <c:v>40631</c:v>
                </c:pt>
                <c:pt idx="319">
                  <c:v>40632</c:v>
                </c:pt>
                <c:pt idx="320">
                  <c:v>40633</c:v>
                </c:pt>
                <c:pt idx="321">
                  <c:v>40634</c:v>
                </c:pt>
                <c:pt idx="322">
                  <c:v>40637</c:v>
                </c:pt>
                <c:pt idx="323">
                  <c:v>40638</c:v>
                </c:pt>
                <c:pt idx="324">
                  <c:v>40639</c:v>
                </c:pt>
                <c:pt idx="325">
                  <c:v>40640</c:v>
                </c:pt>
                <c:pt idx="326">
                  <c:v>40641</c:v>
                </c:pt>
                <c:pt idx="327">
                  <c:v>40644</c:v>
                </c:pt>
                <c:pt idx="328">
                  <c:v>40645</c:v>
                </c:pt>
                <c:pt idx="329">
                  <c:v>40646</c:v>
                </c:pt>
                <c:pt idx="330">
                  <c:v>40647</c:v>
                </c:pt>
                <c:pt idx="331">
                  <c:v>40648</c:v>
                </c:pt>
                <c:pt idx="332">
                  <c:v>40651</c:v>
                </c:pt>
                <c:pt idx="333">
                  <c:v>40652</c:v>
                </c:pt>
                <c:pt idx="334">
                  <c:v>40653</c:v>
                </c:pt>
                <c:pt idx="335">
                  <c:v>40654</c:v>
                </c:pt>
                <c:pt idx="336">
                  <c:v>40659</c:v>
                </c:pt>
                <c:pt idx="337">
                  <c:v>40660</c:v>
                </c:pt>
                <c:pt idx="338">
                  <c:v>40661</c:v>
                </c:pt>
                <c:pt idx="339">
                  <c:v>40662</c:v>
                </c:pt>
                <c:pt idx="340">
                  <c:v>40665</c:v>
                </c:pt>
                <c:pt idx="341">
                  <c:v>40666</c:v>
                </c:pt>
                <c:pt idx="342">
                  <c:v>40667</c:v>
                </c:pt>
                <c:pt idx="343">
                  <c:v>40668</c:v>
                </c:pt>
                <c:pt idx="344">
                  <c:v>40669</c:v>
                </c:pt>
                <c:pt idx="345">
                  <c:v>40672</c:v>
                </c:pt>
                <c:pt idx="346">
                  <c:v>40673</c:v>
                </c:pt>
                <c:pt idx="347">
                  <c:v>40674</c:v>
                </c:pt>
                <c:pt idx="348">
                  <c:v>40675</c:v>
                </c:pt>
                <c:pt idx="349">
                  <c:v>40676</c:v>
                </c:pt>
                <c:pt idx="350">
                  <c:v>40679</c:v>
                </c:pt>
                <c:pt idx="351">
                  <c:v>40680</c:v>
                </c:pt>
                <c:pt idx="352">
                  <c:v>40681</c:v>
                </c:pt>
                <c:pt idx="353">
                  <c:v>40682</c:v>
                </c:pt>
                <c:pt idx="354">
                  <c:v>40683</c:v>
                </c:pt>
                <c:pt idx="355">
                  <c:v>40686</c:v>
                </c:pt>
                <c:pt idx="356">
                  <c:v>40687</c:v>
                </c:pt>
                <c:pt idx="357">
                  <c:v>40688</c:v>
                </c:pt>
                <c:pt idx="358">
                  <c:v>40689</c:v>
                </c:pt>
                <c:pt idx="359">
                  <c:v>40690</c:v>
                </c:pt>
                <c:pt idx="360">
                  <c:v>40693</c:v>
                </c:pt>
                <c:pt idx="361">
                  <c:v>40694</c:v>
                </c:pt>
                <c:pt idx="362">
                  <c:v>40695</c:v>
                </c:pt>
                <c:pt idx="363">
                  <c:v>40696</c:v>
                </c:pt>
                <c:pt idx="364">
                  <c:v>40697</c:v>
                </c:pt>
                <c:pt idx="365">
                  <c:v>40700</c:v>
                </c:pt>
                <c:pt idx="366">
                  <c:v>40701</c:v>
                </c:pt>
                <c:pt idx="367">
                  <c:v>40702</c:v>
                </c:pt>
                <c:pt idx="368">
                  <c:v>40703</c:v>
                </c:pt>
                <c:pt idx="369">
                  <c:v>40704</c:v>
                </c:pt>
                <c:pt idx="370">
                  <c:v>40707</c:v>
                </c:pt>
                <c:pt idx="371">
                  <c:v>40708</c:v>
                </c:pt>
                <c:pt idx="372">
                  <c:v>40709</c:v>
                </c:pt>
                <c:pt idx="373">
                  <c:v>40710</c:v>
                </c:pt>
                <c:pt idx="374">
                  <c:v>40711</c:v>
                </c:pt>
                <c:pt idx="375">
                  <c:v>40714</c:v>
                </c:pt>
                <c:pt idx="376">
                  <c:v>40715</c:v>
                </c:pt>
                <c:pt idx="377">
                  <c:v>40716</c:v>
                </c:pt>
                <c:pt idx="378">
                  <c:v>40717</c:v>
                </c:pt>
                <c:pt idx="379">
                  <c:v>40718</c:v>
                </c:pt>
                <c:pt idx="380">
                  <c:v>40721</c:v>
                </c:pt>
                <c:pt idx="381">
                  <c:v>40722</c:v>
                </c:pt>
                <c:pt idx="382">
                  <c:v>40723</c:v>
                </c:pt>
                <c:pt idx="383">
                  <c:v>40724</c:v>
                </c:pt>
                <c:pt idx="384">
                  <c:v>40725</c:v>
                </c:pt>
                <c:pt idx="385">
                  <c:v>40728</c:v>
                </c:pt>
                <c:pt idx="386">
                  <c:v>40729</c:v>
                </c:pt>
                <c:pt idx="387">
                  <c:v>40730</c:v>
                </c:pt>
                <c:pt idx="388">
                  <c:v>40731</c:v>
                </c:pt>
                <c:pt idx="389">
                  <c:v>40732</c:v>
                </c:pt>
                <c:pt idx="390">
                  <c:v>40735</c:v>
                </c:pt>
                <c:pt idx="391">
                  <c:v>40736</c:v>
                </c:pt>
                <c:pt idx="392">
                  <c:v>40737</c:v>
                </c:pt>
                <c:pt idx="393">
                  <c:v>40738</c:v>
                </c:pt>
                <c:pt idx="394">
                  <c:v>40739</c:v>
                </c:pt>
                <c:pt idx="395">
                  <c:v>40742</c:v>
                </c:pt>
                <c:pt idx="396">
                  <c:v>40743</c:v>
                </c:pt>
                <c:pt idx="397">
                  <c:v>40744</c:v>
                </c:pt>
                <c:pt idx="398">
                  <c:v>40745</c:v>
                </c:pt>
                <c:pt idx="399">
                  <c:v>40746</c:v>
                </c:pt>
                <c:pt idx="400">
                  <c:v>40749</c:v>
                </c:pt>
                <c:pt idx="401">
                  <c:v>40750</c:v>
                </c:pt>
                <c:pt idx="402">
                  <c:v>40751</c:v>
                </c:pt>
                <c:pt idx="403">
                  <c:v>40752</c:v>
                </c:pt>
                <c:pt idx="404">
                  <c:v>40753</c:v>
                </c:pt>
                <c:pt idx="405">
                  <c:v>40756</c:v>
                </c:pt>
                <c:pt idx="406">
                  <c:v>40757</c:v>
                </c:pt>
                <c:pt idx="407">
                  <c:v>40758</c:v>
                </c:pt>
                <c:pt idx="408">
                  <c:v>40759</c:v>
                </c:pt>
                <c:pt idx="409">
                  <c:v>40760</c:v>
                </c:pt>
                <c:pt idx="410">
                  <c:v>40763</c:v>
                </c:pt>
                <c:pt idx="411">
                  <c:v>40764</c:v>
                </c:pt>
                <c:pt idx="412">
                  <c:v>40765</c:v>
                </c:pt>
                <c:pt idx="413">
                  <c:v>40766</c:v>
                </c:pt>
                <c:pt idx="414">
                  <c:v>40767</c:v>
                </c:pt>
                <c:pt idx="415">
                  <c:v>40770</c:v>
                </c:pt>
                <c:pt idx="416">
                  <c:v>40771</c:v>
                </c:pt>
                <c:pt idx="417">
                  <c:v>40772</c:v>
                </c:pt>
                <c:pt idx="418">
                  <c:v>40773</c:v>
                </c:pt>
                <c:pt idx="419">
                  <c:v>40774</c:v>
                </c:pt>
                <c:pt idx="420">
                  <c:v>40777</c:v>
                </c:pt>
                <c:pt idx="421">
                  <c:v>40778</c:v>
                </c:pt>
                <c:pt idx="422">
                  <c:v>40779</c:v>
                </c:pt>
                <c:pt idx="423">
                  <c:v>40780</c:v>
                </c:pt>
                <c:pt idx="424">
                  <c:v>40781</c:v>
                </c:pt>
                <c:pt idx="425">
                  <c:v>40784</c:v>
                </c:pt>
                <c:pt idx="426">
                  <c:v>40785</c:v>
                </c:pt>
                <c:pt idx="427">
                  <c:v>40786</c:v>
                </c:pt>
                <c:pt idx="428">
                  <c:v>40787</c:v>
                </c:pt>
                <c:pt idx="429">
                  <c:v>40788</c:v>
                </c:pt>
                <c:pt idx="430">
                  <c:v>40791</c:v>
                </c:pt>
                <c:pt idx="431">
                  <c:v>40792</c:v>
                </c:pt>
                <c:pt idx="432">
                  <c:v>40793</c:v>
                </c:pt>
                <c:pt idx="433">
                  <c:v>40794</c:v>
                </c:pt>
                <c:pt idx="434">
                  <c:v>40795</c:v>
                </c:pt>
                <c:pt idx="435">
                  <c:v>40798</c:v>
                </c:pt>
                <c:pt idx="436">
                  <c:v>40799</c:v>
                </c:pt>
                <c:pt idx="437">
                  <c:v>40800</c:v>
                </c:pt>
                <c:pt idx="438">
                  <c:v>40801</c:v>
                </c:pt>
                <c:pt idx="439">
                  <c:v>40802</c:v>
                </c:pt>
                <c:pt idx="440">
                  <c:v>40805</c:v>
                </c:pt>
                <c:pt idx="441">
                  <c:v>40806</c:v>
                </c:pt>
                <c:pt idx="442">
                  <c:v>40807</c:v>
                </c:pt>
                <c:pt idx="443">
                  <c:v>40808</c:v>
                </c:pt>
                <c:pt idx="444">
                  <c:v>40809</c:v>
                </c:pt>
                <c:pt idx="445">
                  <c:v>40812</c:v>
                </c:pt>
                <c:pt idx="446">
                  <c:v>40813</c:v>
                </c:pt>
                <c:pt idx="447">
                  <c:v>40814</c:v>
                </c:pt>
                <c:pt idx="448">
                  <c:v>40815</c:v>
                </c:pt>
                <c:pt idx="449">
                  <c:v>40816</c:v>
                </c:pt>
                <c:pt idx="450">
                  <c:v>40819</c:v>
                </c:pt>
                <c:pt idx="451">
                  <c:v>40820</c:v>
                </c:pt>
                <c:pt idx="452">
                  <c:v>40821</c:v>
                </c:pt>
                <c:pt idx="453">
                  <c:v>40822</c:v>
                </c:pt>
                <c:pt idx="454">
                  <c:v>40823</c:v>
                </c:pt>
                <c:pt idx="455">
                  <c:v>40826</c:v>
                </c:pt>
                <c:pt idx="456">
                  <c:v>40827</c:v>
                </c:pt>
                <c:pt idx="457">
                  <c:v>40828</c:v>
                </c:pt>
                <c:pt idx="458">
                  <c:v>40829</c:v>
                </c:pt>
                <c:pt idx="459">
                  <c:v>40830</c:v>
                </c:pt>
                <c:pt idx="460">
                  <c:v>40833</c:v>
                </c:pt>
                <c:pt idx="461">
                  <c:v>40834</c:v>
                </c:pt>
                <c:pt idx="462">
                  <c:v>40835</c:v>
                </c:pt>
                <c:pt idx="463">
                  <c:v>40836</c:v>
                </c:pt>
                <c:pt idx="464">
                  <c:v>40837</c:v>
                </c:pt>
                <c:pt idx="465">
                  <c:v>40840</c:v>
                </c:pt>
                <c:pt idx="466">
                  <c:v>40841</c:v>
                </c:pt>
                <c:pt idx="467">
                  <c:v>40842</c:v>
                </c:pt>
                <c:pt idx="468">
                  <c:v>40843</c:v>
                </c:pt>
                <c:pt idx="469">
                  <c:v>40844</c:v>
                </c:pt>
                <c:pt idx="470">
                  <c:v>40847</c:v>
                </c:pt>
                <c:pt idx="471">
                  <c:v>40848</c:v>
                </c:pt>
                <c:pt idx="472">
                  <c:v>40849</c:v>
                </c:pt>
                <c:pt idx="473">
                  <c:v>40850</c:v>
                </c:pt>
                <c:pt idx="474">
                  <c:v>40851</c:v>
                </c:pt>
                <c:pt idx="475">
                  <c:v>40854</c:v>
                </c:pt>
                <c:pt idx="476">
                  <c:v>40855</c:v>
                </c:pt>
                <c:pt idx="477">
                  <c:v>40856</c:v>
                </c:pt>
                <c:pt idx="478">
                  <c:v>40857</c:v>
                </c:pt>
                <c:pt idx="479">
                  <c:v>40858</c:v>
                </c:pt>
                <c:pt idx="480">
                  <c:v>40861</c:v>
                </c:pt>
                <c:pt idx="481">
                  <c:v>40862</c:v>
                </c:pt>
                <c:pt idx="482">
                  <c:v>40863</c:v>
                </c:pt>
                <c:pt idx="483">
                  <c:v>40864</c:v>
                </c:pt>
                <c:pt idx="484">
                  <c:v>40865</c:v>
                </c:pt>
                <c:pt idx="485">
                  <c:v>40868</c:v>
                </c:pt>
                <c:pt idx="486">
                  <c:v>40869</c:v>
                </c:pt>
                <c:pt idx="487">
                  <c:v>40870</c:v>
                </c:pt>
                <c:pt idx="488">
                  <c:v>40871</c:v>
                </c:pt>
                <c:pt idx="489">
                  <c:v>40872</c:v>
                </c:pt>
                <c:pt idx="490">
                  <c:v>40875</c:v>
                </c:pt>
                <c:pt idx="491">
                  <c:v>40876</c:v>
                </c:pt>
                <c:pt idx="492">
                  <c:v>40877</c:v>
                </c:pt>
                <c:pt idx="493">
                  <c:v>40878</c:v>
                </c:pt>
                <c:pt idx="494">
                  <c:v>40879</c:v>
                </c:pt>
                <c:pt idx="495">
                  <c:v>40882</c:v>
                </c:pt>
                <c:pt idx="496">
                  <c:v>40883</c:v>
                </c:pt>
                <c:pt idx="497">
                  <c:v>40884</c:v>
                </c:pt>
                <c:pt idx="498">
                  <c:v>40885</c:v>
                </c:pt>
                <c:pt idx="499">
                  <c:v>40886</c:v>
                </c:pt>
                <c:pt idx="500">
                  <c:v>40889</c:v>
                </c:pt>
                <c:pt idx="501">
                  <c:v>40890</c:v>
                </c:pt>
                <c:pt idx="502">
                  <c:v>40891</c:v>
                </c:pt>
                <c:pt idx="503">
                  <c:v>40892</c:v>
                </c:pt>
                <c:pt idx="504">
                  <c:v>40893</c:v>
                </c:pt>
                <c:pt idx="505">
                  <c:v>40896</c:v>
                </c:pt>
                <c:pt idx="506">
                  <c:v>40897</c:v>
                </c:pt>
                <c:pt idx="507">
                  <c:v>40898</c:v>
                </c:pt>
                <c:pt idx="508">
                  <c:v>40899</c:v>
                </c:pt>
                <c:pt idx="509">
                  <c:v>40900</c:v>
                </c:pt>
                <c:pt idx="510">
                  <c:v>40904</c:v>
                </c:pt>
                <c:pt idx="511">
                  <c:v>40905</c:v>
                </c:pt>
                <c:pt idx="512">
                  <c:v>40906</c:v>
                </c:pt>
                <c:pt idx="513">
                  <c:v>40907</c:v>
                </c:pt>
                <c:pt idx="514">
                  <c:v>40910</c:v>
                </c:pt>
                <c:pt idx="515">
                  <c:v>40911</c:v>
                </c:pt>
                <c:pt idx="516">
                  <c:v>40912</c:v>
                </c:pt>
                <c:pt idx="517">
                  <c:v>40913</c:v>
                </c:pt>
                <c:pt idx="518">
                  <c:v>40914</c:v>
                </c:pt>
                <c:pt idx="519">
                  <c:v>40917</c:v>
                </c:pt>
                <c:pt idx="520">
                  <c:v>40918</c:v>
                </c:pt>
                <c:pt idx="521">
                  <c:v>40919</c:v>
                </c:pt>
                <c:pt idx="522">
                  <c:v>40920</c:v>
                </c:pt>
                <c:pt idx="523">
                  <c:v>40921</c:v>
                </c:pt>
                <c:pt idx="524">
                  <c:v>40924</c:v>
                </c:pt>
                <c:pt idx="525">
                  <c:v>40925</c:v>
                </c:pt>
                <c:pt idx="526">
                  <c:v>40926</c:v>
                </c:pt>
                <c:pt idx="527">
                  <c:v>40927</c:v>
                </c:pt>
                <c:pt idx="528">
                  <c:v>40928</c:v>
                </c:pt>
                <c:pt idx="529">
                  <c:v>40931</c:v>
                </c:pt>
                <c:pt idx="530">
                  <c:v>40932</c:v>
                </c:pt>
                <c:pt idx="531">
                  <c:v>40933</c:v>
                </c:pt>
                <c:pt idx="532">
                  <c:v>40934</c:v>
                </c:pt>
                <c:pt idx="533">
                  <c:v>40935</c:v>
                </c:pt>
                <c:pt idx="534">
                  <c:v>40938</c:v>
                </c:pt>
                <c:pt idx="535">
                  <c:v>40939</c:v>
                </c:pt>
                <c:pt idx="536">
                  <c:v>40940</c:v>
                </c:pt>
                <c:pt idx="537">
                  <c:v>40941</c:v>
                </c:pt>
                <c:pt idx="538">
                  <c:v>40942</c:v>
                </c:pt>
                <c:pt idx="539">
                  <c:v>40945</c:v>
                </c:pt>
                <c:pt idx="540">
                  <c:v>40946</c:v>
                </c:pt>
                <c:pt idx="541">
                  <c:v>40947</c:v>
                </c:pt>
                <c:pt idx="542">
                  <c:v>40948</c:v>
                </c:pt>
                <c:pt idx="543">
                  <c:v>40949</c:v>
                </c:pt>
                <c:pt idx="544">
                  <c:v>40952</c:v>
                </c:pt>
                <c:pt idx="545">
                  <c:v>40953</c:v>
                </c:pt>
                <c:pt idx="546">
                  <c:v>40954</c:v>
                </c:pt>
                <c:pt idx="547">
                  <c:v>40955</c:v>
                </c:pt>
                <c:pt idx="548">
                  <c:v>40956</c:v>
                </c:pt>
                <c:pt idx="549">
                  <c:v>40959</c:v>
                </c:pt>
                <c:pt idx="550">
                  <c:v>40960</c:v>
                </c:pt>
                <c:pt idx="551">
                  <c:v>40961</c:v>
                </c:pt>
                <c:pt idx="552">
                  <c:v>40962</c:v>
                </c:pt>
                <c:pt idx="553">
                  <c:v>40963</c:v>
                </c:pt>
                <c:pt idx="554">
                  <c:v>40966</c:v>
                </c:pt>
                <c:pt idx="555">
                  <c:v>40967</c:v>
                </c:pt>
                <c:pt idx="556">
                  <c:v>40968</c:v>
                </c:pt>
                <c:pt idx="557">
                  <c:v>40969</c:v>
                </c:pt>
                <c:pt idx="558">
                  <c:v>40970</c:v>
                </c:pt>
                <c:pt idx="559">
                  <c:v>40973</c:v>
                </c:pt>
                <c:pt idx="560">
                  <c:v>40974</c:v>
                </c:pt>
                <c:pt idx="561">
                  <c:v>40975</c:v>
                </c:pt>
                <c:pt idx="562">
                  <c:v>40976</c:v>
                </c:pt>
                <c:pt idx="563">
                  <c:v>40977</c:v>
                </c:pt>
                <c:pt idx="564">
                  <c:v>40980</c:v>
                </c:pt>
                <c:pt idx="565">
                  <c:v>40981</c:v>
                </c:pt>
                <c:pt idx="566">
                  <c:v>40982</c:v>
                </c:pt>
                <c:pt idx="567">
                  <c:v>40983</c:v>
                </c:pt>
                <c:pt idx="568">
                  <c:v>40984</c:v>
                </c:pt>
                <c:pt idx="569">
                  <c:v>40987</c:v>
                </c:pt>
                <c:pt idx="570">
                  <c:v>40988</c:v>
                </c:pt>
                <c:pt idx="571">
                  <c:v>40989</c:v>
                </c:pt>
                <c:pt idx="572">
                  <c:v>40990</c:v>
                </c:pt>
                <c:pt idx="573">
                  <c:v>40991</c:v>
                </c:pt>
                <c:pt idx="574">
                  <c:v>40994</c:v>
                </c:pt>
                <c:pt idx="575">
                  <c:v>40995</c:v>
                </c:pt>
                <c:pt idx="576">
                  <c:v>40996</c:v>
                </c:pt>
                <c:pt idx="577">
                  <c:v>40997</c:v>
                </c:pt>
                <c:pt idx="578">
                  <c:v>40998</c:v>
                </c:pt>
                <c:pt idx="579">
                  <c:v>41001</c:v>
                </c:pt>
                <c:pt idx="580">
                  <c:v>41002</c:v>
                </c:pt>
                <c:pt idx="581">
                  <c:v>41003</c:v>
                </c:pt>
                <c:pt idx="582">
                  <c:v>41004</c:v>
                </c:pt>
                <c:pt idx="583">
                  <c:v>41009</c:v>
                </c:pt>
                <c:pt idx="584">
                  <c:v>41010</c:v>
                </c:pt>
                <c:pt idx="585">
                  <c:v>41011</c:v>
                </c:pt>
                <c:pt idx="586">
                  <c:v>41012</c:v>
                </c:pt>
                <c:pt idx="587">
                  <c:v>41015</c:v>
                </c:pt>
                <c:pt idx="588">
                  <c:v>41016</c:v>
                </c:pt>
                <c:pt idx="589">
                  <c:v>41017</c:v>
                </c:pt>
                <c:pt idx="590">
                  <c:v>41018</c:v>
                </c:pt>
                <c:pt idx="591">
                  <c:v>41019</c:v>
                </c:pt>
                <c:pt idx="592">
                  <c:v>41022</c:v>
                </c:pt>
                <c:pt idx="593">
                  <c:v>41023</c:v>
                </c:pt>
                <c:pt idx="594">
                  <c:v>41024</c:v>
                </c:pt>
                <c:pt idx="595">
                  <c:v>41025</c:v>
                </c:pt>
                <c:pt idx="596">
                  <c:v>41026</c:v>
                </c:pt>
                <c:pt idx="597">
                  <c:v>41029</c:v>
                </c:pt>
                <c:pt idx="598">
                  <c:v>41031</c:v>
                </c:pt>
                <c:pt idx="599">
                  <c:v>41032</c:v>
                </c:pt>
                <c:pt idx="600">
                  <c:v>41033</c:v>
                </c:pt>
                <c:pt idx="601">
                  <c:v>41036</c:v>
                </c:pt>
                <c:pt idx="602">
                  <c:v>41037</c:v>
                </c:pt>
                <c:pt idx="603">
                  <c:v>41038</c:v>
                </c:pt>
                <c:pt idx="604">
                  <c:v>41039</c:v>
                </c:pt>
                <c:pt idx="605">
                  <c:v>41040</c:v>
                </c:pt>
                <c:pt idx="606">
                  <c:v>41043</c:v>
                </c:pt>
                <c:pt idx="607">
                  <c:v>41044</c:v>
                </c:pt>
                <c:pt idx="608">
                  <c:v>41045</c:v>
                </c:pt>
                <c:pt idx="609">
                  <c:v>41046</c:v>
                </c:pt>
                <c:pt idx="610">
                  <c:v>41047</c:v>
                </c:pt>
                <c:pt idx="611">
                  <c:v>41050</c:v>
                </c:pt>
                <c:pt idx="612">
                  <c:v>41051</c:v>
                </c:pt>
                <c:pt idx="613">
                  <c:v>41052</c:v>
                </c:pt>
                <c:pt idx="614">
                  <c:v>41053</c:v>
                </c:pt>
                <c:pt idx="615">
                  <c:v>41054</c:v>
                </c:pt>
                <c:pt idx="616">
                  <c:v>41057</c:v>
                </c:pt>
                <c:pt idx="617">
                  <c:v>41058</c:v>
                </c:pt>
                <c:pt idx="618">
                  <c:v>41059</c:v>
                </c:pt>
                <c:pt idx="619">
                  <c:v>41060</c:v>
                </c:pt>
                <c:pt idx="620">
                  <c:v>41061</c:v>
                </c:pt>
                <c:pt idx="621">
                  <c:v>41064</c:v>
                </c:pt>
                <c:pt idx="622">
                  <c:v>41065</c:v>
                </c:pt>
                <c:pt idx="623">
                  <c:v>41066</c:v>
                </c:pt>
                <c:pt idx="624">
                  <c:v>41067</c:v>
                </c:pt>
                <c:pt idx="625">
                  <c:v>41068</c:v>
                </c:pt>
                <c:pt idx="626">
                  <c:v>41071</c:v>
                </c:pt>
                <c:pt idx="627">
                  <c:v>41072</c:v>
                </c:pt>
                <c:pt idx="628">
                  <c:v>41073</c:v>
                </c:pt>
                <c:pt idx="629">
                  <c:v>41074</c:v>
                </c:pt>
                <c:pt idx="630">
                  <c:v>41075</c:v>
                </c:pt>
                <c:pt idx="631">
                  <c:v>41078</c:v>
                </c:pt>
                <c:pt idx="632">
                  <c:v>41079</c:v>
                </c:pt>
                <c:pt idx="633">
                  <c:v>41080</c:v>
                </c:pt>
                <c:pt idx="634">
                  <c:v>41081</c:v>
                </c:pt>
                <c:pt idx="635">
                  <c:v>41082</c:v>
                </c:pt>
                <c:pt idx="636">
                  <c:v>41085</c:v>
                </c:pt>
                <c:pt idx="637">
                  <c:v>41086</c:v>
                </c:pt>
                <c:pt idx="638">
                  <c:v>41087</c:v>
                </c:pt>
                <c:pt idx="639">
                  <c:v>41088</c:v>
                </c:pt>
                <c:pt idx="640">
                  <c:v>41089</c:v>
                </c:pt>
                <c:pt idx="641">
                  <c:v>41092</c:v>
                </c:pt>
                <c:pt idx="642">
                  <c:v>41093</c:v>
                </c:pt>
                <c:pt idx="643">
                  <c:v>41094</c:v>
                </c:pt>
                <c:pt idx="644">
                  <c:v>41095</c:v>
                </c:pt>
                <c:pt idx="645">
                  <c:v>41096</c:v>
                </c:pt>
                <c:pt idx="646">
                  <c:v>41099</c:v>
                </c:pt>
                <c:pt idx="647">
                  <c:v>41100</c:v>
                </c:pt>
                <c:pt idx="648">
                  <c:v>41101</c:v>
                </c:pt>
                <c:pt idx="649">
                  <c:v>41102</c:v>
                </c:pt>
                <c:pt idx="650">
                  <c:v>41103</c:v>
                </c:pt>
                <c:pt idx="651">
                  <c:v>41106</c:v>
                </c:pt>
                <c:pt idx="652">
                  <c:v>41107</c:v>
                </c:pt>
                <c:pt idx="653">
                  <c:v>41108</c:v>
                </c:pt>
                <c:pt idx="654">
                  <c:v>41109</c:v>
                </c:pt>
                <c:pt idx="655">
                  <c:v>41110</c:v>
                </c:pt>
                <c:pt idx="656">
                  <c:v>41113</c:v>
                </c:pt>
                <c:pt idx="657">
                  <c:v>41114</c:v>
                </c:pt>
                <c:pt idx="658">
                  <c:v>41115</c:v>
                </c:pt>
                <c:pt idx="659">
                  <c:v>41116</c:v>
                </c:pt>
                <c:pt idx="660">
                  <c:v>41117</c:v>
                </c:pt>
                <c:pt idx="661">
                  <c:v>41120</c:v>
                </c:pt>
                <c:pt idx="662">
                  <c:v>41121</c:v>
                </c:pt>
                <c:pt idx="663">
                  <c:v>41122</c:v>
                </c:pt>
                <c:pt idx="664">
                  <c:v>41123</c:v>
                </c:pt>
                <c:pt idx="665">
                  <c:v>41124</c:v>
                </c:pt>
                <c:pt idx="666">
                  <c:v>41127</c:v>
                </c:pt>
                <c:pt idx="667">
                  <c:v>41128</c:v>
                </c:pt>
                <c:pt idx="668">
                  <c:v>41129</c:v>
                </c:pt>
                <c:pt idx="669">
                  <c:v>41130</c:v>
                </c:pt>
                <c:pt idx="670">
                  <c:v>41131</c:v>
                </c:pt>
                <c:pt idx="671">
                  <c:v>41134</c:v>
                </c:pt>
                <c:pt idx="672">
                  <c:v>41135</c:v>
                </c:pt>
                <c:pt idx="673">
                  <c:v>41136</c:v>
                </c:pt>
                <c:pt idx="674">
                  <c:v>41137</c:v>
                </c:pt>
                <c:pt idx="675">
                  <c:v>41138</c:v>
                </c:pt>
                <c:pt idx="676">
                  <c:v>41141</c:v>
                </c:pt>
                <c:pt idx="677">
                  <c:v>41142</c:v>
                </c:pt>
                <c:pt idx="678">
                  <c:v>41143</c:v>
                </c:pt>
                <c:pt idx="679">
                  <c:v>41144</c:v>
                </c:pt>
                <c:pt idx="680">
                  <c:v>41145</c:v>
                </c:pt>
                <c:pt idx="681">
                  <c:v>41148</c:v>
                </c:pt>
                <c:pt idx="682">
                  <c:v>41149</c:v>
                </c:pt>
                <c:pt idx="683">
                  <c:v>41150</c:v>
                </c:pt>
                <c:pt idx="684">
                  <c:v>41151</c:v>
                </c:pt>
                <c:pt idx="685">
                  <c:v>41152</c:v>
                </c:pt>
                <c:pt idx="686">
                  <c:v>41155</c:v>
                </c:pt>
                <c:pt idx="687">
                  <c:v>41156</c:v>
                </c:pt>
                <c:pt idx="688">
                  <c:v>41157</c:v>
                </c:pt>
                <c:pt idx="689">
                  <c:v>41158</c:v>
                </c:pt>
                <c:pt idx="690">
                  <c:v>41159</c:v>
                </c:pt>
                <c:pt idx="691">
                  <c:v>41162</c:v>
                </c:pt>
                <c:pt idx="692">
                  <c:v>41163</c:v>
                </c:pt>
                <c:pt idx="693">
                  <c:v>41164</c:v>
                </c:pt>
                <c:pt idx="694">
                  <c:v>41165</c:v>
                </c:pt>
                <c:pt idx="695">
                  <c:v>41166</c:v>
                </c:pt>
                <c:pt idx="696">
                  <c:v>41169</c:v>
                </c:pt>
                <c:pt idx="697">
                  <c:v>41170</c:v>
                </c:pt>
                <c:pt idx="698">
                  <c:v>41171</c:v>
                </c:pt>
                <c:pt idx="699">
                  <c:v>41172</c:v>
                </c:pt>
                <c:pt idx="700">
                  <c:v>41173</c:v>
                </c:pt>
                <c:pt idx="701">
                  <c:v>41176</c:v>
                </c:pt>
                <c:pt idx="702">
                  <c:v>41177</c:v>
                </c:pt>
                <c:pt idx="703">
                  <c:v>41178</c:v>
                </c:pt>
                <c:pt idx="704">
                  <c:v>41179</c:v>
                </c:pt>
                <c:pt idx="705">
                  <c:v>41180</c:v>
                </c:pt>
                <c:pt idx="706">
                  <c:v>41183</c:v>
                </c:pt>
                <c:pt idx="707">
                  <c:v>41184</c:v>
                </c:pt>
                <c:pt idx="708">
                  <c:v>41185</c:v>
                </c:pt>
                <c:pt idx="709">
                  <c:v>41186</c:v>
                </c:pt>
                <c:pt idx="710">
                  <c:v>41187</c:v>
                </c:pt>
                <c:pt idx="711">
                  <c:v>41190</c:v>
                </c:pt>
                <c:pt idx="712">
                  <c:v>41191</c:v>
                </c:pt>
                <c:pt idx="713">
                  <c:v>41192</c:v>
                </c:pt>
                <c:pt idx="714">
                  <c:v>41193</c:v>
                </c:pt>
                <c:pt idx="715">
                  <c:v>41194</c:v>
                </c:pt>
                <c:pt idx="716">
                  <c:v>41197</c:v>
                </c:pt>
                <c:pt idx="717">
                  <c:v>41198</c:v>
                </c:pt>
                <c:pt idx="718">
                  <c:v>41199</c:v>
                </c:pt>
                <c:pt idx="719">
                  <c:v>41200</c:v>
                </c:pt>
                <c:pt idx="720">
                  <c:v>41201</c:v>
                </c:pt>
                <c:pt idx="721">
                  <c:v>41204</c:v>
                </c:pt>
                <c:pt idx="722">
                  <c:v>41205</c:v>
                </c:pt>
                <c:pt idx="723">
                  <c:v>41206</c:v>
                </c:pt>
                <c:pt idx="724">
                  <c:v>41207</c:v>
                </c:pt>
                <c:pt idx="725">
                  <c:v>41208</c:v>
                </c:pt>
                <c:pt idx="726">
                  <c:v>41211</c:v>
                </c:pt>
                <c:pt idx="727">
                  <c:v>41212</c:v>
                </c:pt>
                <c:pt idx="728">
                  <c:v>41213</c:v>
                </c:pt>
                <c:pt idx="729">
                  <c:v>41214</c:v>
                </c:pt>
                <c:pt idx="730">
                  <c:v>41215</c:v>
                </c:pt>
                <c:pt idx="731">
                  <c:v>41218</c:v>
                </c:pt>
                <c:pt idx="732">
                  <c:v>41219</c:v>
                </c:pt>
                <c:pt idx="733">
                  <c:v>41220</c:v>
                </c:pt>
                <c:pt idx="734">
                  <c:v>41221</c:v>
                </c:pt>
                <c:pt idx="735">
                  <c:v>41222</c:v>
                </c:pt>
                <c:pt idx="736">
                  <c:v>41225</c:v>
                </c:pt>
                <c:pt idx="737">
                  <c:v>41226</c:v>
                </c:pt>
                <c:pt idx="738">
                  <c:v>41227</c:v>
                </c:pt>
                <c:pt idx="739">
                  <c:v>41228</c:v>
                </c:pt>
                <c:pt idx="740">
                  <c:v>41229</c:v>
                </c:pt>
                <c:pt idx="741">
                  <c:v>41232</c:v>
                </c:pt>
                <c:pt idx="742">
                  <c:v>41233</c:v>
                </c:pt>
                <c:pt idx="743">
                  <c:v>41234</c:v>
                </c:pt>
                <c:pt idx="744">
                  <c:v>41235</c:v>
                </c:pt>
                <c:pt idx="745">
                  <c:v>41236</c:v>
                </c:pt>
                <c:pt idx="746">
                  <c:v>41239</c:v>
                </c:pt>
                <c:pt idx="747">
                  <c:v>41240</c:v>
                </c:pt>
                <c:pt idx="748">
                  <c:v>41241</c:v>
                </c:pt>
                <c:pt idx="749">
                  <c:v>41242</c:v>
                </c:pt>
                <c:pt idx="750">
                  <c:v>41243</c:v>
                </c:pt>
                <c:pt idx="751">
                  <c:v>41246</c:v>
                </c:pt>
                <c:pt idx="752">
                  <c:v>41247</c:v>
                </c:pt>
                <c:pt idx="753">
                  <c:v>41248</c:v>
                </c:pt>
                <c:pt idx="754">
                  <c:v>41249</c:v>
                </c:pt>
                <c:pt idx="755">
                  <c:v>41250</c:v>
                </c:pt>
                <c:pt idx="756">
                  <c:v>41253</c:v>
                </c:pt>
                <c:pt idx="757">
                  <c:v>41254</c:v>
                </c:pt>
                <c:pt idx="758">
                  <c:v>41255</c:v>
                </c:pt>
                <c:pt idx="759">
                  <c:v>41256</c:v>
                </c:pt>
                <c:pt idx="760">
                  <c:v>41257</c:v>
                </c:pt>
                <c:pt idx="761">
                  <c:v>41260</c:v>
                </c:pt>
                <c:pt idx="762">
                  <c:v>41261</c:v>
                </c:pt>
                <c:pt idx="763">
                  <c:v>41262</c:v>
                </c:pt>
                <c:pt idx="764">
                  <c:v>41263</c:v>
                </c:pt>
                <c:pt idx="765">
                  <c:v>41264</c:v>
                </c:pt>
                <c:pt idx="766">
                  <c:v>41267</c:v>
                </c:pt>
                <c:pt idx="767">
                  <c:v>41270</c:v>
                </c:pt>
                <c:pt idx="768">
                  <c:v>41271</c:v>
                </c:pt>
                <c:pt idx="769">
                  <c:v>41274</c:v>
                </c:pt>
                <c:pt idx="770">
                  <c:v>41276</c:v>
                </c:pt>
                <c:pt idx="771">
                  <c:v>41277</c:v>
                </c:pt>
                <c:pt idx="772">
                  <c:v>41278</c:v>
                </c:pt>
                <c:pt idx="773">
                  <c:v>41281</c:v>
                </c:pt>
                <c:pt idx="774">
                  <c:v>41282</c:v>
                </c:pt>
                <c:pt idx="775">
                  <c:v>41283</c:v>
                </c:pt>
                <c:pt idx="776">
                  <c:v>41284</c:v>
                </c:pt>
                <c:pt idx="777">
                  <c:v>41285</c:v>
                </c:pt>
                <c:pt idx="778">
                  <c:v>41288</c:v>
                </c:pt>
                <c:pt idx="779">
                  <c:v>41289</c:v>
                </c:pt>
                <c:pt idx="780">
                  <c:v>41290</c:v>
                </c:pt>
                <c:pt idx="781">
                  <c:v>41291</c:v>
                </c:pt>
                <c:pt idx="782">
                  <c:v>41292</c:v>
                </c:pt>
                <c:pt idx="783">
                  <c:v>41295</c:v>
                </c:pt>
                <c:pt idx="784">
                  <c:v>41296</c:v>
                </c:pt>
                <c:pt idx="785">
                  <c:v>41297</c:v>
                </c:pt>
                <c:pt idx="786">
                  <c:v>41298</c:v>
                </c:pt>
                <c:pt idx="787">
                  <c:v>41299</c:v>
                </c:pt>
                <c:pt idx="788">
                  <c:v>41302</c:v>
                </c:pt>
                <c:pt idx="789">
                  <c:v>41303</c:v>
                </c:pt>
                <c:pt idx="790">
                  <c:v>41304</c:v>
                </c:pt>
                <c:pt idx="791">
                  <c:v>41305</c:v>
                </c:pt>
                <c:pt idx="792">
                  <c:v>41306</c:v>
                </c:pt>
                <c:pt idx="793">
                  <c:v>41309</c:v>
                </c:pt>
                <c:pt idx="794">
                  <c:v>41310</c:v>
                </c:pt>
                <c:pt idx="795">
                  <c:v>41311</c:v>
                </c:pt>
                <c:pt idx="796">
                  <c:v>41312</c:v>
                </c:pt>
                <c:pt idx="797">
                  <c:v>41313</c:v>
                </c:pt>
                <c:pt idx="798">
                  <c:v>41316</c:v>
                </c:pt>
                <c:pt idx="799">
                  <c:v>41317</c:v>
                </c:pt>
                <c:pt idx="800">
                  <c:v>41318</c:v>
                </c:pt>
                <c:pt idx="801">
                  <c:v>41319</c:v>
                </c:pt>
                <c:pt idx="802">
                  <c:v>41320</c:v>
                </c:pt>
                <c:pt idx="803">
                  <c:v>41323</c:v>
                </c:pt>
                <c:pt idx="804">
                  <c:v>41324</c:v>
                </c:pt>
                <c:pt idx="805">
                  <c:v>41325</c:v>
                </c:pt>
                <c:pt idx="806">
                  <c:v>41326</c:v>
                </c:pt>
                <c:pt idx="807">
                  <c:v>41327</c:v>
                </c:pt>
                <c:pt idx="808">
                  <c:v>41330</c:v>
                </c:pt>
                <c:pt idx="809">
                  <c:v>41331</c:v>
                </c:pt>
                <c:pt idx="810">
                  <c:v>41332</c:v>
                </c:pt>
                <c:pt idx="811">
                  <c:v>41333</c:v>
                </c:pt>
                <c:pt idx="812">
                  <c:v>41334</c:v>
                </c:pt>
                <c:pt idx="813">
                  <c:v>41337</c:v>
                </c:pt>
                <c:pt idx="814">
                  <c:v>41338</c:v>
                </c:pt>
                <c:pt idx="815">
                  <c:v>41339</c:v>
                </c:pt>
                <c:pt idx="816">
                  <c:v>41340</c:v>
                </c:pt>
                <c:pt idx="817">
                  <c:v>41341</c:v>
                </c:pt>
                <c:pt idx="818">
                  <c:v>41344</c:v>
                </c:pt>
                <c:pt idx="819">
                  <c:v>41345</c:v>
                </c:pt>
                <c:pt idx="820">
                  <c:v>41346</c:v>
                </c:pt>
                <c:pt idx="821">
                  <c:v>41347</c:v>
                </c:pt>
                <c:pt idx="822">
                  <c:v>41348</c:v>
                </c:pt>
                <c:pt idx="823">
                  <c:v>41351</c:v>
                </c:pt>
                <c:pt idx="824">
                  <c:v>41352</c:v>
                </c:pt>
                <c:pt idx="825">
                  <c:v>41353</c:v>
                </c:pt>
                <c:pt idx="826">
                  <c:v>41354</c:v>
                </c:pt>
                <c:pt idx="827">
                  <c:v>41355</c:v>
                </c:pt>
                <c:pt idx="828">
                  <c:v>41358</c:v>
                </c:pt>
                <c:pt idx="829">
                  <c:v>41359</c:v>
                </c:pt>
                <c:pt idx="830">
                  <c:v>41360</c:v>
                </c:pt>
                <c:pt idx="831">
                  <c:v>41361</c:v>
                </c:pt>
                <c:pt idx="832">
                  <c:v>41362</c:v>
                </c:pt>
                <c:pt idx="833">
                  <c:v>41363</c:v>
                </c:pt>
                <c:pt idx="834">
                  <c:v>41364</c:v>
                </c:pt>
                <c:pt idx="835">
                  <c:v>41365</c:v>
                </c:pt>
                <c:pt idx="836">
                  <c:v>41366</c:v>
                </c:pt>
                <c:pt idx="837">
                  <c:v>41367</c:v>
                </c:pt>
                <c:pt idx="838">
                  <c:v>41368</c:v>
                </c:pt>
                <c:pt idx="839">
                  <c:v>41369</c:v>
                </c:pt>
                <c:pt idx="840">
                  <c:v>41370</c:v>
                </c:pt>
                <c:pt idx="841">
                  <c:v>41371</c:v>
                </c:pt>
                <c:pt idx="842">
                  <c:v>41372</c:v>
                </c:pt>
                <c:pt idx="843">
                  <c:v>41373</c:v>
                </c:pt>
                <c:pt idx="844">
                  <c:v>41374</c:v>
                </c:pt>
                <c:pt idx="845">
                  <c:v>41375</c:v>
                </c:pt>
                <c:pt idx="846">
                  <c:v>41376</c:v>
                </c:pt>
                <c:pt idx="847">
                  <c:v>41377</c:v>
                </c:pt>
                <c:pt idx="848">
                  <c:v>41378</c:v>
                </c:pt>
                <c:pt idx="849">
                  <c:v>41379</c:v>
                </c:pt>
                <c:pt idx="850">
                  <c:v>41380</c:v>
                </c:pt>
                <c:pt idx="851">
                  <c:v>41381</c:v>
                </c:pt>
                <c:pt idx="852">
                  <c:v>41382</c:v>
                </c:pt>
                <c:pt idx="853">
                  <c:v>41383</c:v>
                </c:pt>
                <c:pt idx="854">
                  <c:v>41384</c:v>
                </c:pt>
                <c:pt idx="855">
                  <c:v>41385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41391</c:v>
                </c:pt>
                <c:pt idx="862">
                  <c:v>41392</c:v>
                </c:pt>
                <c:pt idx="863">
                  <c:v>41393</c:v>
                </c:pt>
                <c:pt idx="864">
                  <c:v>41394</c:v>
                </c:pt>
                <c:pt idx="865">
                  <c:v>41395</c:v>
                </c:pt>
                <c:pt idx="866">
                  <c:v>41396</c:v>
                </c:pt>
                <c:pt idx="867">
                  <c:v>41397</c:v>
                </c:pt>
                <c:pt idx="868">
                  <c:v>41398</c:v>
                </c:pt>
                <c:pt idx="869">
                  <c:v>41399</c:v>
                </c:pt>
                <c:pt idx="870">
                  <c:v>41400</c:v>
                </c:pt>
                <c:pt idx="871">
                  <c:v>41401</c:v>
                </c:pt>
                <c:pt idx="872">
                  <c:v>41402</c:v>
                </c:pt>
                <c:pt idx="873">
                  <c:v>41403</c:v>
                </c:pt>
                <c:pt idx="874">
                  <c:v>41404</c:v>
                </c:pt>
                <c:pt idx="875">
                  <c:v>41405</c:v>
                </c:pt>
                <c:pt idx="876">
                  <c:v>41406</c:v>
                </c:pt>
                <c:pt idx="877">
                  <c:v>41407</c:v>
                </c:pt>
                <c:pt idx="878">
                  <c:v>41408</c:v>
                </c:pt>
                <c:pt idx="879">
                  <c:v>41409</c:v>
                </c:pt>
                <c:pt idx="880">
                  <c:v>41410</c:v>
                </c:pt>
                <c:pt idx="881">
                  <c:v>41411</c:v>
                </c:pt>
                <c:pt idx="882">
                  <c:v>41412</c:v>
                </c:pt>
                <c:pt idx="883">
                  <c:v>41413</c:v>
                </c:pt>
                <c:pt idx="884">
                  <c:v>41414</c:v>
                </c:pt>
                <c:pt idx="885">
                  <c:v>41415</c:v>
                </c:pt>
                <c:pt idx="886">
                  <c:v>41416</c:v>
                </c:pt>
                <c:pt idx="887">
                  <c:v>41417</c:v>
                </c:pt>
                <c:pt idx="888">
                  <c:v>41418</c:v>
                </c:pt>
                <c:pt idx="889">
                  <c:v>41419</c:v>
                </c:pt>
                <c:pt idx="890">
                  <c:v>41420</c:v>
                </c:pt>
                <c:pt idx="891">
                  <c:v>41421</c:v>
                </c:pt>
                <c:pt idx="892">
                  <c:v>41422</c:v>
                </c:pt>
                <c:pt idx="893">
                  <c:v>41423</c:v>
                </c:pt>
                <c:pt idx="894">
                  <c:v>41424</c:v>
                </c:pt>
                <c:pt idx="895">
                  <c:v>41425</c:v>
                </c:pt>
                <c:pt idx="896">
                  <c:v>41426</c:v>
                </c:pt>
                <c:pt idx="897">
                  <c:v>41427</c:v>
                </c:pt>
                <c:pt idx="898">
                  <c:v>41428</c:v>
                </c:pt>
                <c:pt idx="899">
                  <c:v>41429</c:v>
                </c:pt>
                <c:pt idx="900">
                  <c:v>41430</c:v>
                </c:pt>
                <c:pt idx="901">
                  <c:v>41431</c:v>
                </c:pt>
                <c:pt idx="902">
                  <c:v>41432</c:v>
                </c:pt>
                <c:pt idx="903">
                  <c:v>41433</c:v>
                </c:pt>
                <c:pt idx="904">
                  <c:v>41434</c:v>
                </c:pt>
                <c:pt idx="905">
                  <c:v>41435</c:v>
                </c:pt>
                <c:pt idx="906">
                  <c:v>41436</c:v>
                </c:pt>
                <c:pt idx="907">
                  <c:v>41437</c:v>
                </c:pt>
                <c:pt idx="908">
                  <c:v>41438</c:v>
                </c:pt>
                <c:pt idx="909">
                  <c:v>41439</c:v>
                </c:pt>
                <c:pt idx="910">
                  <c:v>41440</c:v>
                </c:pt>
                <c:pt idx="911">
                  <c:v>41441</c:v>
                </c:pt>
                <c:pt idx="912">
                  <c:v>41442</c:v>
                </c:pt>
                <c:pt idx="913">
                  <c:v>41443</c:v>
                </c:pt>
                <c:pt idx="914">
                  <c:v>41444</c:v>
                </c:pt>
                <c:pt idx="915">
                  <c:v>41445</c:v>
                </c:pt>
                <c:pt idx="916">
                  <c:v>41446</c:v>
                </c:pt>
                <c:pt idx="917">
                  <c:v>41447</c:v>
                </c:pt>
                <c:pt idx="918">
                  <c:v>41448</c:v>
                </c:pt>
                <c:pt idx="919">
                  <c:v>41449</c:v>
                </c:pt>
                <c:pt idx="920">
                  <c:v>41450</c:v>
                </c:pt>
                <c:pt idx="921">
                  <c:v>41451</c:v>
                </c:pt>
                <c:pt idx="922">
                  <c:v>41452</c:v>
                </c:pt>
                <c:pt idx="923">
                  <c:v>41453</c:v>
                </c:pt>
                <c:pt idx="924">
                  <c:v>41454</c:v>
                </c:pt>
                <c:pt idx="925">
                  <c:v>41455</c:v>
                </c:pt>
                <c:pt idx="926">
                  <c:v>41456</c:v>
                </c:pt>
                <c:pt idx="927">
                  <c:v>41457</c:v>
                </c:pt>
                <c:pt idx="928">
                  <c:v>41458</c:v>
                </c:pt>
                <c:pt idx="929">
                  <c:v>41459</c:v>
                </c:pt>
                <c:pt idx="930">
                  <c:v>41460</c:v>
                </c:pt>
                <c:pt idx="931">
                  <c:v>41461</c:v>
                </c:pt>
                <c:pt idx="932">
                  <c:v>41462</c:v>
                </c:pt>
                <c:pt idx="933">
                  <c:v>41463</c:v>
                </c:pt>
                <c:pt idx="934">
                  <c:v>41464</c:v>
                </c:pt>
                <c:pt idx="935">
                  <c:v>41465</c:v>
                </c:pt>
                <c:pt idx="936">
                  <c:v>41466</c:v>
                </c:pt>
                <c:pt idx="937">
                  <c:v>41467</c:v>
                </c:pt>
                <c:pt idx="938">
                  <c:v>41468</c:v>
                </c:pt>
                <c:pt idx="939">
                  <c:v>41469</c:v>
                </c:pt>
                <c:pt idx="940">
                  <c:v>41470</c:v>
                </c:pt>
                <c:pt idx="941">
                  <c:v>41471</c:v>
                </c:pt>
                <c:pt idx="942">
                  <c:v>41472</c:v>
                </c:pt>
                <c:pt idx="943">
                  <c:v>41473</c:v>
                </c:pt>
                <c:pt idx="944">
                  <c:v>41474</c:v>
                </c:pt>
                <c:pt idx="945">
                  <c:v>41475</c:v>
                </c:pt>
                <c:pt idx="946">
                  <c:v>41476</c:v>
                </c:pt>
                <c:pt idx="947">
                  <c:v>41477</c:v>
                </c:pt>
                <c:pt idx="948">
                  <c:v>41478</c:v>
                </c:pt>
                <c:pt idx="949">
                  <c:v>41479</c:v>
                </c:pt>
                <c:pt idx="950">
                  <c:v>41480</c:v>
                </c:pt>
                <c:pt idx="951">
                  <c:v>41481</c:v>
                </c:pt>
                <c:pt idx="952">
                  <c:v>41482</c:v>
                </c:pt>
                <c:pt idx="953">
                  <c:v>41483</c:v>
                </c:pt>
                <c:pt idx="954">
                  <c:v>41484</c:v>
                </c:pt>
                <c:pt idx="955">
                  <c:v>41485</c:v>
                </c:pt>
                <c:pt idx="956">
                  <c:v>41486</c:v>
                </c:pt>
                <c:pt idx="957">
                  <c:v>41487</c:v>
                </c:pt>
                <c:pt idx="958">
                  <c:v>41488</c:v>
                </c:pt>
                <c:pt idx="959">
                  <c:v>41489</c:v>
                </c:pt>
                <c:pt idx="960">
                  <c:v>41490</c:v>
                </c:pt>
                <c:pt idx="961">
                  <c:v>41491</c:v>
                </c:pt>
                <c:pt idx="962">
                  <c:v>41492</c:v>
                </c:pt>
                <c:pt idx="963">
                  <c:v>41493</c:v>
                </c:pt>
                <c:pt idx="964">
                  <c:v>41494</c:v>
                </c:pt>
                <c:pt idx="965">
                  <c:v>41495</c:v>
                </c:pt>
                <c:pt idx="966">
                  <c:v>41496</c:v>
                </c:pt>
                <c:pt idx="967">
                  <c:v>41497</c:v>
                </c:pt>
                <c:pt idx="968">
                  <c:v>41498</c:v>
                </c:pt>
                <c:pt idx="969">
                  <c:v>41499</c:v>
                </c:pt>
                <c:pt idx="970">
                  <c:v>41500</c:v>
                </c:pt>
                <c:pt idx="971">
                  <c:v>41501</c:v>
                </c:pt>
                <c:pt idx="972">
                  <c:v>41502</c:v>
                </c:pt>
                <c:pt idx="973">
                  <c:v>41503</c:v>
                </c:pt>
                <c:pt idx="974">
                  <c:v>41504</c:v>
                </c:pt>
                <c:pt idx="975">
                  <c:v>41505</c:v>
                </c:pt>
                <c:pt idx="976">
                  <c:v>41506</c:v>
                </c:pt>
                <c:pt idx="977">
                  <c:v>41507</c:v>
                </c:pt>
                <c:pt idx="978">
                  <c:v>41508</c:v>
                </c:pt>
                <c:pt idx="979">
                  <c:v>41509</c:v>
                </c:pt>
                <c:pt idx="980">
                  <c:v>41510</c:v>
                </c:pt>
                <c:pt idx="981">
                  <c:v>41511</c:v>
                </c:pt>
                <c:pt idx="982">
                  <c:v>41512</c:v>
                </c:pt>
                <c:pt idx="983">
                  <c:v>41513</c:v>
                </c:pt>
                <c:pt idx="984">
                  <c:v>41514</c:v>
                </c:pt>
                <c:pt idx="985">
                  <c:v>41515</c:v>
                </c:pt>
                <c:pt idx="986">
                  <c:v>41516</c:v>
                </c:pt>
                <c:pt idx="987">
                  <c:v>41517</c:v>
                </c:pt>
                <c:pt idx="988">
                  <c:v>41518</c:v>
                </c:pt>
                <c:pt idx="989">
                  <c:v>41519</c:v>
                </c:pt>
                <c:pt idx="990">
                  <c:v>41520</c:v>
                </c:pt>
                <c:pt idx="991">
                  <c:v>41521</c:v>
                </c:pt>
                <c:pt idx="992">
                  <c:v>41522</c:v>
                </c:pt>
                <c:pt idx="993">
                  <c:v>41523</c:v>
                </c:pt>
                <c:pt idx="994">
                  <c:v>41524</c:v>
                </c:pt>
                <c:pt idx="995">
                  <c:v>41525</c:v>
                </c:pt>
                <c:pt idx="996">
                  <c:v>41526</c:v>
                </c:pt>
                <c:pt idx="997">
                  <c:v>41527</c:v>
                </c:pt>
                <c:pt idx="998">
                  <c:v>41528</c:v>
                </c:pt>
                <c:pt idx="999">
                  <c:v>41529</c:v>
                </c:pt>
                <c:pt idx="1000">
                  <c:v>41530</c:v>
                </c:pt>
                <c:pt idx="1001">
                  <c:v>41531</c:v>
                </c:pt>
                <c:pt idx="1002">
                  <c:v>41532</c:v>
                </c:pt>
                <c:pt idx="1003">
                  <c:v>41533</c:v>
                </c:pt>
                <c:pt idx="1004">
                  <c:v>41534</c:v>
                </c:pt>
                <c:pt idx="1005">
                  <c:v>41535</c:v>
                </c:pt>
                <c:pt idx="1006">
                  <c:v>41536</c:v>
                </c:pt>
                <c:pt idx="1007">
                  <c:v>41537</c:v>
                </c:pt>
                <c:pt idx="1008">
                  <c:v>41538</c:v>
                </c:pt>
                <c:pt idx="1009">
                  <c:v>41539</c:v>
                </c:pt>
                <c:pt idx="1010">
                  <c:v>41540</c:v>
                </c:pt>
                <c:pt idx="1011">
                  <c:v>41541</c:v>
                </c:pt>
                <c:pt idx="1012">
                  <c:v>41542</c:v>
                </c:pt>
                <c:pt idx="1013">
                  <c:v>41543</c:v>
                </c:pt>
                <c:pt idx="1014">
                  <c:v>41544</c:v>
                </c:pt>
                <c:pt idx="1015">
                  <c:v>41545</c:v>
                </c:pt>
                <c:pt idx="1016">
                  <c:v>41546</c:v>
                </c:pt>
                <c:pt idx="1017">
                  <c:v>41547</c:v>
                </c:pt>
                <c:pt idx="1018">
                  <c:v>41548</c:v>
                </c:pt>
                <c:pt idx="1019">
                  <c:v>41549</c:v>
                </c:pt>
                <c:pt idx="1020">
                  <c:v>41550</c:v>
                </c:pt>
                <c:pt idx="1021">
                  <c:v>41551</c:v>
                </c:pt>
                <c:pt idx="1022">
                  <c:v>41552</c:v>
                </c:pt>
                <c:pt idx="1023">
                  <c:v>41553</c:v>
                </c:pt>
                <c:pt idx="1024">
                  <c:v>41554</c:v>
                </c:pt>
                <c:pt idx="1025">
                  <c:v>41555</c:v>
                </c:pt>
                <c:pt idx="1026">
                  <c:v>41556</c:v>
                </c:pt>
                <c:pt idx="1027">
                  <c:v>41557</c:v>
                </c:pt>
                <c:pt idx="1028">
                  <c:v>41558</c:v>
                </c:pt>
                <c:pt idx="1029">
                  <c:v>41559</c:v>
                </c:pt>
                <c:pt idx="1030">
                  <c:v>41560</c:v>
                </c:pt>
                <c:pt idx="1031">
                  <c:v>41561</c:v>
                </c:pt>
                <c:pt idx="1032">
                  <c:v>41562</c:v>
                </c:pt>
                <c:pt idx="1033">
                  <c:v>41563</c:v>
                </c:pt>
                <c:pt idx="1034">
                  <c:v>41564</c:v>
                </c:pt>
                <c:pt idx="1035">
                  <c:v>41565</c:v>
                </c:pt>
                <c:pt idx="1036">
                  <c:v>41566</c:v>
                </c:pt>
                <c:pt idx="1037">
                  <c:v>41567</c:v>
                </c:pt>
                <c:pt idx="1038">
                  <c:v>41568</c:v>
                </c:pt>
                <c:pt idx="1039">
                  <c:v>41569</c:v>
                </c:pt>
                <c:pt idx="1040">
                  <c:v>41570</c:v>
                </c:pt>
                <c:pt idx="1041">
                  <c:v>41571</c:v>
                </c:pt>
                <c:pt idx="1042">
                  <c:v>41572</c:v>
                </c:pt>
                <c:pt idx="1043">
                  <c:v>41573</c:v>
                </c:pt>
                <c:pt idx="1044">
                  <c:v>41574</c:v>
                </c:pt>
                <c:pt idx="1045">
                  <c:v>41575</c:v>
                </c:pt>
                <c:pt idx="1046">
                  <c:v>41576</c:v>
                </c:pt>
                <c:pt idx="1047">
                  <c:v>41577</c:v>
                </c:pt>
                <c:pt idx="1048">
                  <c:v>41578</c:v>
                </c:pt>
                <c:pt idx="1049">
                  <c:v>41579</c:v>
                </c:pt>
                <c:pt idx="1050">
                  <c:v>41580</c:v>
                </c:pt>
                <c:pt idx="1051">
                  <c:v>41581</c:v>
                </c:pt>
                <c:pt idx="1052">
                  <c:v>41582</c:v>
                </c:pt>
                <c:pt idx="1053">
                  <c:v>41583</c:v>
                </c:pt>
                <c:pt idx="1054">
                  <c:v>41584</c:v>
                </c:pt>
                <c:pt idx="1055">
                  <c:v>41585</c:v>
                </c:pt>
                <c:pt idx="1056">
                  <c:v>41586</c:v>
                </c:pt>
                <c:pt idx="1057">
                  <c:v>41587</c:v>
                </c:pt>
                <c:pt idx="1058">
                  <c:v>41588</c:v>
                </c:pt>
                <c:pt idx="1059">
                  <c:v>41589</c:v>
                </c:pt>
                <c:pt idx="1060">
                  <c:v>41590</c:v>
                </c:pt>
                <c:pt idx="1061">
                  <c:v>41591</c:v>
                </c:pt>
                <c:pt idx="1062">
                  <c:v>41592</c:v>
                </c:pt>
                <c:pt idx="1063">
                  <c:v>41593</c:v>
                </c:pt>
                <c:pt idx="1064">
                  <c:v>41594</c:v>
                </c:pt>
                <c:pt idx="1065">
                  <c:v>41595</c:v>
                </c:pt>
                <c:pt idx="1066">
                  <c:v>41596</c:v>
                </c:pt>
                <c:pt idx="1067">
                  <c:v>41597</c:v>
                </c:pt>
                <c:pt idx="1068">
                  <c:v>41598</c:v>
                </c:pt>
                <c:pt idx="1069">
                  <c:v>41599</c:v>
                </c:pt>
                <c:pt idx="1070">
                  <c:v>41600</c:v>
                </c:pt>
                <c:pt idx="1071">
                  <c:v>41601</c:v>
                </c:pt>
                <c:pt idx="1072">
                  <c:v>41602</c:v>
                </c:pt>
                <c:pt idx="1073">
                  <c:v>41603</c:v>
                </c:pt>
                <c:pt idx="1074">
                  <c:v>41604</c:v>
                </c:pt>
                <c:pt idx="1075">
                  <c:v>41605</c:v>
                </c:pt>
                <c:pt idx="1076">
                  <c:v>41606</c:v>
                </c:pt>
                <c:pt idx="1077">
                  <c:v>41607</c:v>
                </c:pt>
                <c:pt idx="1078">
                  <c:v>41608</c:v>
                </c:pt>
                <c:pt idx="1079">
                  <c:v>41609</c:v>
                </c:pt>
                <c:pt idx="1080">
                  <c:v>41610</c:v>
                </c:pt>
                <c:pt idx="1081">
                  <c:v>41611</c:v>
                </c:pt>
                <c:pt idx="1082">
                  <c:v>41612</c:v>
                </c:pt>
                <c:pt idx="1083">
                  <c:v>41613</c:v>
                </c:pt>
                <c:pt idx="1084">
                  <c:v>41614</c:v>
                </c:pt>
                <c:pt idx="1085">
                  <c:v>41615</c:v>
                </c:pt>
                <c:pt idx="1086">
                  <c:v>41616</c:v>
                </c:pt>
                <c:pt idx="1087">
                  <c:v>41617</c:v>
                </c:pt>
                <c:pt idx="1088">
                  <c:v>41618</c:v>
                </c:pt>
                <c:pt idx="1089">
                  <c:v>41619</c:v>
                </c:pt>
                <c:pt idx="1090">
                  <c:v>41620</c:v>
                </c:pt>
                <c:pt idx="1091">
                  <c:v>41621</c:v>
                </c:pt>
                <c:pt idx="1092">
                  <c:v>41622</c:v>
                </c:pt>
                <c:pt idx="1093">
                  <c:v>41623</c:v>
                </c:pt>
                <c:pt idx="1094">
                  <c:v>41624</c:v>
                </c:pt>
                <c:pt idx="1095">
                  <c:v>41625</c:v>
                </c:pt>
                <c:pt idx="1096">
                  <c:v>41626</c:v>
                </c:pt>
                <c:pt idx="1097">
                  <c:v>41627</c:v>
                </c:pt>
                <c:pt idx="1098">
                  <c:v>41628</c:v>
                </c:pt>
                <c:pt idx="1099">
                  <c:v>41629</c:v>
                </c:pt>
                <c:pt idx="1100">
                  <c:v>41630</c:v>
                </c:pt>
                <c:pt idx="1101">
                  <c:v>41631</c:v>
                </c:pt>
                <c:pt idx="1102">
                  <c:v>41632</c:v>
                </c:pt>
                <c:pt idx="1103">
                  <c:v>41633</c:v>
                </c:pt>
                <c:pt idx="1104">
                  <c:v>41634</c:v>
                </c:pt>
                <c:pt idx="1105">
                  <c:v>41635</c:v>
                </c:pt>
                <c:pt idx="1106">
                  <c:v>41636</c:v>
                </c:pt>
                <c:pt idx="1107">
                  <c:v>41637</c:v>
                </c:pt>
              </c:numCache>
            </c:numRef>
          </c:cat>
          <c:val>
            <c:numRef>
              <c:f>'Standing Facilities'!$C$407:$C$1514</c:f>
              <c:numCache>
                <c:formatCode>#,##0_ ;[Red]\-#,##0\ </c:formatCode>
                <c:ptCount val="1108"/>
                <c:pt idx="0">
                  <c:v>162117</c:v>
                </c:pt>
                <c:pt idx="1">
                  <c:v>168760</c:v>
                </c:pt>
                <c:pt idx="2">
                  <c:v>175174</c:v>
                </c:pt>
                <c:pt idx="3">
                  <c:v>176135</c:v>
                </c:pt>
                <c:pt idx="4">
                  <c:v>181435</c:v>
                </c:pt>
                <c:pt idx="5">
                  <c:v>227141</c:v>
                </c:pt>
                <c:pt idx="6">
                  <c:v>211743</c:v>
                </c:pt>
                <c:pt idx="7">
                  <c:v>227612</c:v>
                </c:pt>
                <c:pt idx="8">
                  <c:v>248874</c:v>
                </c:pt>
                <c:pt idx="9">
                  <c:v>217447</c:v>
                </c:pt>
                <c:pt idx="10">
                  <c:v>232147</c:v>
                </c:pt>
                <c:pt idx="11">
                  <c:v>231439</c:v>
                </c:pt>
                <c:pt idx="12">
                  <c:v>42909</c:v>
                </c:pt>
                <c:pt idx="13">
                  <c:v>108824</c:v>
                </c:pt>
                <c:pt idx="14">
                  <c:v>112060</c:v>
                </c:pt>
                <c:pt idx="15">
                  <c:v>143074</c:v>
                </c:pt>
                <c:pt idx="16">
                  <c:v>145376</c:v>
                </c:pt>
                <c:pt idx="17">
                  <c:v>138953</c:v>
                </c:pt>
                <c:pt idx="18">
                  <c:v>158878</c:v>
                </c:pt>
                <c:pt idx="19">
                  <c:v>164795</c:v>
                </c:pt>
                <c:pt idx="20">
                  <c:v>165261</c:v>
                </c:pt>
                <c:pt idx="21">
                  <c:v>191474</c:v>
                </c:pt>
                <c:pt idx="22">
                  <c:v>202456</c:v>
                </c:pt>
                <c:pt idx="23">
                  <c:v>210273</c:v>
                </c:pt>
                <c:pt idx="24">
                  <c:v>217706</c:v>
                </c:pt>
                <c:pt idx="25">
                  <c:v>229364</c:v>
                </c:pt>
                <c:pt idx="26">
                  <c:v>243711</c:v>
                </c:pt>
                <c:pt idx="27">
                  <c:v>29908</c:v>
                </c:pt>
                <c:pt idx="28">
                  <c:v>114173</c:v>
                </c:pt>
                <c:pt idx="29">
                  <c:v>106587</c:v>
                </c:pt>
                <c:pt idx="30">
                  <c:v>150113</c:v>
                </c:pt>
                <c:pt idx="31">
                  <c:v>149724</c:v>
                </c:pt>
                <c:pt idx="32">
                  <c:v>149724</c:v>
                </c:pt>
                <c:pt idx="33">
                  <c:v>146036</c:v>
                </c:pt>
                <c:pt idx="34">
                  <c:v>156482</c:v>
                </c:pt>
                <c:pt idx="35">
                  <c:v>178934</c:v>
                </c:pt>
                <c:pt idx="36">
                  <c:v>186977</c:v>
                </c:pt>
                <c:pt idx="37">
                  <c:v>177595</c:v>
                </c:pt>
                <c:pt idx="38">
                  <c:v>186103</c:v>
                </c:pt>
                <c:pt idx="39">
                  <c:v>190885</c:v>
                </c:pt>
                <c:pt idx="40">
                  <c:v>200770</c:v>
                </c:pt>
                <c:pt idx="41">
                  <c:v>217292</c:v>
                </c:pt>
                <c:pt idx="42">
                  <c:v>236470</c:v>
                </c:pt>
                <c:pt idx="43">
                  <c:v>236470</c:v>
                </c:pt>
                <c:pt idx="44">
                  <c:v>241774</c:v>
                </c:pt>
                <c:pt idx="45">
                  <c:v>246718</c:v>
                </c:pt>
                <c:pt idx="46">
                  <c:v>259759</c:v>
                </c:pt>
                <c:pt idx="47">
                  <c:v>245483</c:v>
                </c:pt>
                <c:pt idx="48">
                  <c:v>33867</c:v>
                </c:pt>
                <c:pt idx="49">
                  <c:v>116960</c:v>
                </c:pt>
                <c:pt idx="50">
                  <c:v>160313</c:v>
                </c:pt>
                <c:pt idx="51">
                  <c:v>172308</c:v>
                </c:pt>
                <c:pt idx="52">
                  <c:v>172320</c:v>
                </c:pt>
                <c:pt idx="53">
                  <c:v>162805</c:v>
                </c:pt>
                <c:pt idx="54">
                  <c:v>196014</c:v>
                </c:pt>
                <c:pt idx="55">
                  <c:v>195139</c:v>
                </c:pt>
                <c:pt idx="56">
                  <c:v>187838</c:v>
                </c:pt>
                <c:pt idx="57">
                  <c:v>197126</c:v>
                </c:pt>
                <c:pt idx="58">
                  <c:v>208103</c:v>
                </c:pt>
                <c:pt idx="59">
                  <c:v>207308</c:v>
                </c:pt>
                <c:pt idx="60">
                  <c:v>213936</c:v>
                </c:pt>
                <c:pt idx="61">
                  <c:v>212162</c:v>
                </c:pt>
                <c:pt idx="62">
                  <c:v>207952</c:v>
                </c:pt>
                <c:pt idx="63">
                  <c:v>180284</c:v>
                </c:pt>
                <c:pt idx="64">
                  <c:v>242659</c:v>
                </c:pt>
                <c:pt idx="65">
                  <c:v>254701</c:v>
                </c:pt>
                <c:pt idx="66">
                  <c:v>234551</c:v>
                </c:pt>
                <c:pt idx="67">
                  <c:v>234142</c:v>
                </c:pt>
                <c:pt idx="68">
                  <c:v>249292</c:v>
                </c:pt>
                <c:pt idx="69">
                  <c:v>257710</c:v>
                </c:pt>
                <c:pt idx="70">
                  <c:v>50875</c:v>
                </c:pt>
                <c:pt idx="71">
                  <c:v>113660</c:v>
                </c:pt>
                <c:pt idx="72">
                  <c:v>132661</c:v>
                </c:pt>
                <c:pt idx="73">
                  <c:v>171115</c:v>
                </c:pt>
                <c:pt idx="74">
                  <c:v>181469</c:v>
                </c:pt>
                <c:pt idx="75">
                  <c:v>175446</c:v>
                </c:pt>
                <c:pt idx="76">
                  <c:v>185147</c:v>
                </c:pt>
                <c:pt idx="77">
                  <c:v>186741</c:v>
                </c:pt>
                <c:pt idx="78">
                  <c:v>217364</c:v>
                </c:pt>
                <c:pt idx="79">
                  <c:v>209733</c:v>
                </c:pt>
                <c:pt idx="80">
                  <c:v>229501</c:v>
                </c:pt>
                <c:pt idx="81">
                  <c:v>221743</c:v>
                </c:pt>
                <c:pt idx="82">
                  <c:v>233373</c:v>
                </c:pt>
                <c:pt idx="83">
                  <c:v>240120</c:v>
                </c:pt>
                <c:pt idx="84">
                  <c:v>267250</c:v>
                </c:pt>
                <c:pt idx="85">
                  <c:v>268670</c:v>
                </c:pt>
                <c:pt idx="86">
                  <c:v>288019</c:v>
                </c:pt>
                <c:pt idx="87">
                  <c:v>290009</c:v>
                </c:pt>
                <c:pt idx="88">
                  <c:v>282014</c:v>
                </c:pt>
                <c:pt idx="89">
                  <c:v>314792</c:v>
                </c:pt>
                <c:pt idx="90">
                  <c:v>46375</c:v>
                </c:pt>
                <c:pt idx="91">
                  <c:v>145743</c:v>
                </c:pt>
                <c:pt idx="92">
                  <c:v>138058</c:v>
                </c:pt>
                <c:pt idx="93">
                  <c:v>225607</c:v>
                </c:pt>
                <c:pt idx="94">
                  <c:v>202200</c:v>
                </c:pt>
                <c:pt idx="95">
                  <c:v>232148</c:v>
                </c:pt>
                <c:pt idx="96">
                  <c:v>248833</c:v>
                </c:pt>
                <c:pt idx="97">
                  <c:v>255100</c:v>
                </c:pt>
                <c:pt idx="98">
                  <c:v>253469</c:v>
                </c:pt>
                <c:pt idx="99">
                  <c:v>264484</c:v>
                </c:pt>
                <c:pt idx="100">
                  <c:v>267598</c:v>
                </c:pt>
                <c:pt idx="101">
                  <c:v>294533</c:v>
                </c:pt>
                <c:pt idx="102">
                  <c:v>305432</c:v>
                </c:pt>
                <c:pt idx="103">
                  <c:v>316163</c:v>
                </c:pt>
                <c:pt idx="104">
                  <c:v>305232</c:v>
                </c:pt>
                <c:pt idx="105">
                  <c:v>316405</c:v>
                </c:pt>
                <c:pt idx="106">
                  <c:v>320367</c:v>
                </c:pt>
                <c:pt idx="107">
                  <c:v>299471</c:v>
                </c:pt>
                <c:pt idx="108">
                  <c:v>350903</c:v>
                </c:pt>
                <c:pt idx="109">
                  <c:v>361692</c:v>
                </c:pt>
                <c:pt idx="110">
                  <c:v>364587</c:v>
                </c:pt>
                <c:pt idx="111">
                  <c:v>368978</c:v>
                </c:pt>
                <c:pt idx="112">
                  <c:v>365904</c:v>
                </c:pt>
                <c:pt idx="113">
                  <c:v>384260</c:v>
                </c:pt>
                <c:pt idx="114">
                  <c:v>381220</c:v>
                </c:pt>
                <c:pt idx="115">
                  <c:v>77168</c:v>
                </c:pt>
                <c:pt idx="116">
                  <c:v>200733</c:v>
                </c:pt>
                <c:pt idx="117">
                  <c:v>213085</c:v>
                </c:pt>
                <c:pt idx="118">
                  <c:v>232045</c:v>
                </c:pt>
                <c:pt idx="119">
                  <c:v>226129</c:v>
                </c:pt>
                <c:pt idx="120">
                  <c:v>213562</c:v>
                </c:pt>
                <c:pt idx="121">
                  <c:v>214254</c:v>
                </c:pt>
                <c:pt idx="122">
                  <c:v>250019</c:v>
                </c:pt>
                <c:pt idx="123">
                  <c:v>284357</c:v>
                </c:pt>
                <c:pt idx="124">
                  <c:v>304711</c:v>
                </c:pt>
                <c:pt idx="125">
                  <c:v>302228</c:v>
                </c:pt>
                <c:pt idx="126">
                  <c:v>309106</c:v>
                </c:pt>
                <c:pt idx="127">
                  <c:v>212629</c:v>
                </c:pt>
                <c:pt idx="128">
                  <c:v>231717</c:v>
                </c:pt>
                <c:pt idx="129">
                  <c:v>246410</c:v>
                </c:pt>
                <c:pt idx="130">
                  <c:v>243402</c:v>
                </c:pt>
                <c:pt idx="131">
                  <c:v>188405</c:v>
                </c:pt>
                <c:pt idx="132">
                  <c:v>190710</c:v>
                </c:pt>
                <c:pt idx="133">
                  <c:v>205544</c:v>
                </c:pt>
                <c:pt idx="134">
                  <c:v>221922</c:v>
                </c:pt>
                <c:pt idx="135">
                  <c:v>52738</c:v>
                </c:pt>
                <c:pt idx="136">
                  <c:v>85668</c:v>
                </c:pt>
                <c:pt idx="137">
                  <c:v>61659</c:v>
                </c:pt>
                <c:pt idx="138">
                  <c:v>58550</c:v>
                </c:pt>
                <c:pt idx="139">
                  <c:v>52472</c:v>
                </c:pt>
                <c:pt idx="140">
                  <c:v>55069</c:v>
                </c:pt>
                <c:pt idx="141">
                  <c:v>47666</c:v>
                </c:pt>
                <c:pt idx="142">
                  <c:v>56285</c:v>
                </c:pt>
                <c:pt idx="143">
                  <c:v>61325</c:v>
                </c:pt>
                <c:pt idx="144">
                  <c:v>69409</c:v>
                </c:pt>
                <c:pt idx="145">
                  <c:v>79089</c:v>
                </c:pt>
                <c:pt idx="146">
                  <c:v>91307</c:v>
                </c:pt>
                <c:pt idx="147">
                  <c:v>117923</c:v>
                </c:pt>
                <c:pt idx="148">
                  <c:v>120894</c:v>
                </c:pt>
                <c:pt idx="149">
                  <c:v>138117</c:v>
                </c:pt>
                <c:pt idx="150">
                  <c:v>146408</c:v>
                </c:pt>
                <c:pt idx="151">
                  <c:v>144342</c:v>
                </c:pt>
                <c:pt idx="152">
                  <c:v>149973</c:v>
                </c:pt>
                <c:pt idx="153">
                  <c:v>161330</c:v>
                </c:pt>
                <c:pt idx="154">
                  <c:v>172078</c:v>
                </c:pt>
                <c:pt idx="155">
                  <c:v>34495</c:v>
                </c:pt>
                <c:pt idx="156">
                  <c:v>38687</c:v>
                </c:pt>
                <c:pt idx="157">
                  <c:v>44863</c:v>
                </c:pt>
                <c:pt idx="158">
                  <c:v>55585</c:v>
                </c:pt>
                <c:pt idx="159">
                  <c:v>68670</c:v>
                </c:pt>
                <c:pt idx="160">
                  <c:v>64015</c:v>
                </c:pt>
                <c:pt idx="161">
                  <c:v>68326</c:v>
                </c:pt>
                <c:pt idx="162">
                  <c:v>74170</c:v>
                </c:pt>
                <c:pt idx="163">
                  <c:v>74181</c:v>
                </c:pt>
                <c:pt idx="164">
                  <c:v>91219</c:v>
                </c:pt>
                <c:pt idx="165">
                  <c:v>90629</c:v>
                </c:pt>
                <c:pt idx="166">
                  <c:v>90793</c:v>
                </c:pt>
                <c:pt idx="167">
                  <c:v>87863</c:v>
                </c:pt>
                <c:pt idx="168">
                  <c:v>102698</c:v>
                </c:pt>
                <c:pt idx="169">
                  <c:v>100254</c:v>
                </c:pt>
                <c:pt idx="170">
                  <c:v>104262</c:v>
                </c:pt>
                <c:pt idx="171">
                  <c:v>95392</c:v>
                </c:pt>
                <c:pt idx="172">
                  <c:v>92437</c:v>
                </c:pt>
                <c:pt idx="173">
                  <c:v>122440</c:v>
                </c:pt>
                <c:pt idx="174">
                  <c:v>129129</c:v>
                </c:pt>
                <c:pt idx="175">
                  <c:v>38583</c:v>
                </c:pt>
                <c:pt idx="176">
                  <c:v>44328</c:v>
                </c:pt>
                <c:pt idx="177">
                  <c:v>40519</c:v>
                </c:pt>
                <c:pt idx="178">
                  <c:v>49071</c:v>
                </c:pt>
                <c:pt idx="179">
                  <c:v>42081</c:v>
                </c:pt>
                <c:pt idx="180">
                  <c:v>39262</c:v>
                </c:pt>
                <c:pt idx="181">
                  <c:v>50735</c:v>
                </c:pt>
                <c:pt idx="182">
                  <c:v>43216</c:v>
                </c:pt>
                <c:pt idx="183">
                  <c:v>61594</c:v>
                </c:pt>
                <c:pt idx="184">
                  <c:v>64136</c:v>
                </c:pt>
                <c:pt idx="185">
                  <c:v>61566</c:v>
                </c:pt>
                <c:pt idx="186">
                  <c:v>73095</c:v>
                </c:pt>
                <c:pt idx="187">
                  <c:v>74466</c:v>
                </c:pt>
                <c:pt idx="188">
                  <c:v>101047</c:v>
                </c:pt>
                <c:pt idx="189">
                  <c:v>101875</c:v>
                </c:pt>
                <c:pt idx="190">
                  <c:v>77171</c:v>
                </c:pt>
                <c:pt idx="191">
                  <c:v>49471</c:v>
                </c:pt>
                <c:pt idx="192">
                  <c:v>76825</c:v>
                </c:pt>
                <c:pt idx="193">
                  <c:v>83917</c:v>
                </c:pt>
                <c:pt idx="194">
                  <c:v>92164</c:v>
                </c:pt>
                <c:pt idx="195">
                  <c:v>94612</c:v>
                </c:pt>
                <c:pt idx="196">
                  <c:v>94413</c:v>
                </c:pt>
                <c:pt idx="197">
                  <c:v>100580</c:v>
                </c:pt>
                <c:pt idx="198">
                  <c:v>44027</c:v>
                </c:pt>
                <c:pt idx="199">
                  <c:v>28522</c:v>
                </c:pt>
                <c:pt idx="200">
                  <c:v>27970</c:v>
                </c:pt>
                <c:pt idx="201">
                  <c:v>35782</c:v>
                </c:pt>
                <c:pt idx="202">
                  <c:v>32895</c:v>
                </c:pt>
                <c:pt idx="203">
                  <c:v>25115</c:v>
                </c:pt>
                <c:pt idx="204">
                  <c:v>28522</c:v>
                </c:pt>
                <c:pt idx="205">
                  <c:v>21663</c:v>
                </c:pt>
                <c:pt idx="206">
                  <c:v>25657</c:v>
                </c:pt>
                <c:pt idx="207">
                  <c:v>23904</c:v>
                </c:pt>
                <c:pt idx="208">
                  <c:v>24376</c:v>
                </c:pt>
                <c:pt idx="209">
                  <c:v>24567</c:v>
                </c:pt>
                <c:pt idx="210">
                  <c:v>37363</c:v>
                </c:pt>
                <c:pt idx="211">
                  <c:v>50308</c:v>
                </c:pt>
                <c:pt idx="212">
                  <c:v>28128</c:v>
                </c:pt>
                <c:pt idx="213">
                  <c:v>33548</c:v>
                </c:pt>
                <c:pt idx="214">
                  <c:v>38664</c:v>
                </c:pt>
                <c:pt idx="215">
                  <c:v>51480</c:v>
                </c:pt>
                <c:pt idx="216">
                  <c:v>81733</c:v>
                </c:pt>
                <c:pt idx="217">
                  <c:v>127691</c:v>
                </c:pt>
                <c:pt idx="218">
                  <c:v>38910</c:v>
                </c:pt>
                <c:pt idx="219">
                  <c:v>19366</c:v>
                </c:pt>
                <c:pt idx="220">
                  <c:v>19351</c:v>
                </c:pt>
                <c:pt idx="221">
                  <c:v>20210</c:v>
                </c:pt>
                <c:pt idx="222">
                  <c:v>51012</c:v>
                </c:pt>
                <c:pt idx="223">
                  <c:v>27223</c:v>
                </c:pt>
                <c:pt idx="224">
                  <c:v>24934</c:v>
                </c:pt>
                <c:pt idx="225">
                  <c:v>23573</c:v>
                </c:pt>
                <c:pt idx="226">
                  <c:v>28900</c:v>
                </c:pt>
                <c:pt idx="227">
                  <c:v>35868</c:v>
                </c:pt>
                <c:pt idx="228">
                  <c:v>38402</c:v>
                </c:pt>
                <c:pt idx="229">
                  <c:v>38133</c:v>
                </c:pt>
                <c:pt idx="230">
                  <c:v>40179</c:v>
                </c:pt>
                <c:pt idx="231">
                  <c:v>53776</c:v>
                </c:pt>
                <c:pt idx="232">
                  <c:v>57253</c:v>
                </c:pt>
                <c:pt idx="233">
                  <c:v>50222</c:v>
                </c:pt>
                <c:pt idx="234">
                  <c:v>48779</c:v>
                </c:pt>
                <c:pt idx="235">
                  <c:v>57922</c:v>
                </c:pt>
                <c:pt idx="236">
                  <c:v>84850</c:v>
                </c:pt>
                <c:pt idx="237">
                  <c:v>122950</c:v>
                </c:pt>
                <c:pt idx="238">
                  <c:v>31970</c:v>
                </c:pt>
                <c:pt idx="239">
                  <c:v>22077</c:v>
                </c:pt>
                <c:pt idx="240">
                  <c:v>23824</c:v>
                </c:pt>
                <c:pt idx="241">
                  <c:v>24100</c:v>
                </c:pt>
                <c:pt idx="242">
                  <c:v>26975</c:v>
                </c:pt>
                <c:pt idx="243">
                  <c:v>31954</c:v>
                </c:pt>
                <c:pt idx="244">
                  <c:v>29585</c:v>
                </c:pt>
                <c:pt idx="245">
                  <c:v>28500</c:v>
                </c:pt>
                <c:pt idx="246">
                  <c:v>40321</c:v>
                </c:pt>
                <c:pt idx="247">
                  <c:v>61359</c:v>
                </c:pt>
                <c:pt idx="248">
                  <c:v>61191</c:v>
                </c:pt>
                <c:pt idx="249">
                  <c:v>65634</c:v>
                </c:pt>
                <c:pt idx="250">
                  <c:v>43619</c:v>
                </c:pt>
                <c:pt idx="251">
                  <c:v>55371</c:v>
                </c:pt>
                <c:pt idx="252">
                  <c:v>69326</c:v>
                </c:pt>
                <c:pt idx="253">
                  <c:v>65619</c:v>
                </c:pt>
                <c:pt idx="254">
                  <c:v>78863</c:v>
                </c:pt>
                <c:pt idx="255">
                  <c:v>88872</c:v>
                </c:pt>
                <c:pt idx="256">
                  <c:v>104458</c:v>
                </c:pt>
                <c:pt idx="257">
                  <c:v>93415</c:v>
                </c:pt>
                <c:pt idx="258">
                  <c:v>93727</c:v>
                </c:pt>
                <c:pt idx="259">
                  <c:v>72093</c:v>
                </c:pt>
                <c:pt idx="260">
                  <c:v>72093</c:v>
                </c:pt>
                <c:pt idx="261">
                  <c:v>72093</c:v>
                </c:pt>
                <c:pt idx="262">
                  <c:v>72093</c:v>
                </c:pt>
                <c:pt idx="263">
                  <c:v>72093</c:v>
                </c:pt>
                <c:pt idx="264">
                  <c:v>103434</c:v>
                </c:pt>
                <c:pt idx="265">
                  <c:v>105247</c:v>
                </c:pt>
                <c:pt idx="266">
                  <c:v>107200</c:v>
                </c:pt>
                <c:pt idx="267">
                  <c:v>115071</c:v>
                </c:pt>
                <c:pt idx="268">
                  <c:v>32842</c:v>
                </c:pt>
                <c:pt idx="269">
                  <c:v>21539</c:v>
                </c:pt>
                <c:pt idx="270">
                  <c:v>26197</c:v>
                </c:pt>
                <c:pt idx="271">
                  <c:v>27477</c:v>
                </c:pt>
                <c:pt idx="272">
                  <c:v>24842</c:v>
                </c:pt>
                <c:pt idx="273">
                  <c:v>25936</c:v>
                </c:pt>
                <c:pt idx="274">
                  <c:v>21326</c:v>
                </c:pt>
                <c:pt idx="275">
                  <c:v>26859</c:v>
                </c:pt>
                <c:pt idx="276">
                  <c:v>24416</c:v>
                </c:pt>
                <c:pt idx="277">
                  <c:v>30736</c:v>
                </c:pt>
                <c:pt idx="278">
                  <c:v>27303</c:v>
                </c:pt>
                <c:pt idx="279">
                  <c:v>25047</c:v>
                </c:pt>
                <c:pt idx="280">
                  <c:v>30097</c:v>
                </c:pt>
                <c:pt idx="281">
                  <c:v>71446</c:v>
                </c:pt>
                <c:pt idx="282">
                  <c:v>137065</c:v>
                </c:pt>
                <c:pt idx="283">
                  <c:v>57246</c:v>
                </c:pt>
                <c:pt idx="284">
                  <c:v>13584</c:v>
                </c:pt>
                <c:pt idx="285">
                  <c:v>14654</c:v>
                </c:pt>
                <c:pt idx="286">
                  <c:v>17029</c:v>
                </c:pt>
                <c:pt idx="287">
                  <c:v>20492</c:v>
                </c:pt>
                <c:pt idx="288">
                  <c:v>17927</c:v>
                </c:pt>
                <c:pt idx="289">
                  <c:v>14723</c:v>
                </c:pt>
                <c:pt idx="290">
                  <c:v>18761</c:v>
                </c:pt>
                <c:pt idx="291">
                  <c:v>34482</c:v>
                </c:pt>
                <c:pt idx="292">
                  <c:v>26495</c:v>
                </c:pt>
                <c:pt idx="293">
                  <c:v>25476</c:v>
                </c:pt>
                <c:pt idx="294">
                  <c:v>18868</c:v>
                </c:pt>
                <c:pt idx="295">
                  <c:v>15962</c:v>
                </c:pt>
                <c:pt idx="296">
                  <c:v>24718</c:v>
                </c:pt>
                <c:pt idx="297">
                  <c:v>28755</c:v>
                </c:pt>
                <c:pt idx="298">
                  <c:v>26882</c:v>
                </c:pt>
                <c:pt idx="299">
                  <c:v>33847</c:v>
                </c:pt>
                <c:pt idx="300">
                  <c:v>43260</c:v>
                </c:pt>
                <c:pt idx="301">
                  <c:v>43179</c:v>
                </c:pt>
                <c:pt idx="302">
                  <c:v>36212</c:v>
                </c:pt>
                <c:pt idx="303">
                  <c:v>40237</c:v>
                </c:pt>
                <c:pt idx="304">
                  <c:v>10286</c:v>
                </c:pt>
                <c:pt idx="305">
                  <c:v>11713</c:v>
                </c:pt>
                <c:pt idx="306">
                  <c:v>15292</c:v>
                </c:pt>
                <c:pt idx="307">
                  <c:v>17134</c:v>
                </c:pt>
                <c:pt idx="308">
                  <c:v>14756</c:v>
                </c:pt>
                <c:pt idx="309">
                  <c:v>16872</c:v>
                </c:pt>
                <c:pt idx="310">
                  <c:v>19309</c:v>
                </c:pt>
                <c:pt idx="311">
                  <c:v>20150</c:v>
                </c:pt>
                <c:pt idx="312">
                  <c:v>20972</c:v>
                </c:pt>
                <c:pt idx="313">
                  <c:v>19483</c:v>
                </c:pt>
                <c:pt idx="314">
                  <c:v>15585</c:v>
                </c:pt>
                <c:pt idx="315">
                  <c:v>16070</c:v>
                </c:pt>
                <c:pt idx="316">
                  <c:v>19400</c:v>
                </c:pt>
                <c:pt idx="317">
                  <c:v>20923</c:v>
                </c:pt>
                <c:pt idx="318">
                  <c:v>22155</c:v>
                </c:pt>
                <c:pt idx="319">
                  <c:v>26143</c:v>
                </c:pt>
                <c:pt idx="320">
                  <c:v>42085</c:v>
                </c:pt>
                <c:pt idx="321">
                  <c:v>26054</c:v>
                </c:pt>
                <c:pt idx="322">
                  <c:v>24092</c:v>
                </c:pt>
                <c:pt idx="323">
                  <c:v>25680</c:v>
                </c:pt>
                <c:pt idx="324">
                  <c:v>25026</c:v>
                </c:pt>
                <c:pt idx="325">
                  <c:v>32001</c:v>
                </c:pt>
                <c:pt idx="326">
                  <c:v>30522</c:v>
                </c:pt>
                <c:pt idx="327">
                  <c:v>40553</c:v>
                </c:pt>
                <c:pt idx="328">
                  <c:v>49124</c:v>
                </c:pt>
                <c:pt idx="329">
                  <c:v>9176</c:v>
                </c:pt>
                <c:pt idx="330">
                  <c:v>8849</c:v>
                </c:pt>
                <c:pt idx="331">
                  <c:v>9999</c:v>
                </c:pt>
                <c:pt idx="332">
                  <c:v>9474</c:v>
                </c:pt>
                <c:pt idx="333">
                  <c:v>9188</c:v>
                </c:pt>
                <c:pt idx="334">
                  <c:v>12694</c:v>
                </c:pt>
                <c:pt idx="335">
                  <c:v>13104</c:v>
                </c:pt>
                <c:pt idx="336">
                  <c:v>12185</c:v>
                </c:pt>
                <c:pt idx="337">
                  <c:v>12766</c:v>
                </c:pt>
                <c:pt idx="338">
                  <c:v>16299</c:v>
                </c:pt>
                <c:pt idx="339">
                  <c:v>27338</c:v>
                </c:pt>
                <c:pt idx="340">
                  <c:v>28602</c:v>
                </c:pt>
                <c:pt idx="341">
                  <c:v>20951</c:v>
                </c:pt>
                <c:pt idx="342">
                  <c:v>18387</c:v>
                </c:pt>
                <c:pt idx="343">
                  <c:v>28639</c:v>
                </c:pt>
                <c:pt idx="344">
                  <c:v>54244</c:v>
                </c:pt>
                <c:pt idx="345">
                  <c:v>64965</c:v>
                </c:pt>
                <c:pt idx="346">
                  <c:v>44567</c:v>
                </c:pt>
                <c:pt idx="347">
                  <c:v>13091</c:v>
                </c:pt>
                <c:pt idx="348">
                  <c:v>11993</c:v>
                </c:pt>
                <c:pt idx="349">
                  <c:v>12106</c:v>
                </c:pt>
                <c:pt idx="350">
                  <c:v>19333</c:v>
                </c:pt>
                <c:pt idx="351">
                  <c:v>19991</c:v>
                </c:pt>
                <c:pt idx="352">
                  <c:v>16460</c:v>
                </c:pt>
                <c:pt idx="353">
                  <c:v>15174</c:v>
                </c:pt>
                <c:pt idx="354">
                  <c:v>17801</c:v>
                </c:pt>
                <c:pt idx="355">
                  <c:v>20441</c:v>
                </c:pt>
                <c:pt idx="356">
                  <c:v>19842</c:v>
                </c:pt>
                <c:pt idx="357">
                  <c:v>17520</c:v>
                </c:pt>
                <c:pt idx="358">
                  <c:v>15627</c:v>
                </c:pt>
                <c:pt idx="359">
                  <c:v>19382</c:v>
                </c:pt>
                <c:pt idx="360">
                  <c:v>20886</c:v>
                </c:pt>
                <c:pt idx="361">
                  <c:v>28340</c:v>
                </c:pt>
                <c:pt idx="362">
                  <c:v>20174</c:v>
                </c:pt>
                <c:pt idx="363">
                  <c:v>20229</c:v>
                </c:pt>
                <c:pt idx="364">
                  <c:v>20425</c:v>
                </c:pt>
                <c:pt idx="365">
                  <c:v>22074</c:v>
                </c:pt>
                <c:pt idx="366">
                  <c:v>17289</c:v>
                </c:pt>
                <c:pt idx="367">
                  <c:v>13642</c:v>
                </c:pt>
                <c:pt idx="368">
                  <c:v>12085</c:v>
                </c:pt>
                <c:pt idx="369">
                  <c:v>10409</c:v>
                </c:pt>
                <c:pt idx="370">
                  <c:v>28261</c:v>
                </c:pt>
                <c:pt idx="371">
                  <c:v>51111</c:v>
                </c:pt>
                <c:pt idx="372">
                  <c:v>4981</c:v>
                </c:pt>
                <c:pt idx="373">
                  <c:v>5109</c:v>
                </c:pt>
                <c:pt idx="374">
                  <c:v>5371</c:v>
                </c:pt>
                <c:pt idx="375">
                  <c:v>6794</c:v>
                </c:pt>
                <c:pt idx="376">
                  <c:v>7194</c:v>
                </c:pt>
                <c:pt idx="377">
                  <c:v>9977</c:v>
                </c:pt>
                <c:pt idx="378">
                  <c:v>11405</c:v>
                </c:pt>
                <c:pt idx="379">
                  <c:v>13189</c:v>
                </c:pt>
                <c:pt idx="380">
                  <c:v>22371</c:v>
                </c:pt>
                <c:pt idx="381">
                  <c:v>23365</c:v>
                </c:pt>
                <c:pt idx="382">
                  <c:v>18793</c:v>
                </c:pt>
                <c:pt idx="383">
                  <c:v>34561</c:v>
                </c:pt>
                <c:pt idx="384">
                  <c:v>24902</c:v>
                </c:pt>
                <c:pt idx="385">
                  <c:v>40847</c:v>
                </c:pt>
                <c:pt idx="386">
                  <c:v>44674</c:v>
                </c:pt>
                <c:pt idx="387">
                  <c:v>57043</c:v>
                </c:pt>
                <c:pt idx="388">
                  <c:v>61426</c:v>
                </c:pt>
                <c:pt idx="389">
                  <c:v>65687</c:v>
                </c:pt>
                <c:pt idx="390">
                  <c:v>90544</c:v>
                </c:pt>
                <c:pt idx="391">
                  <c:v>60429</c:v>
                </c:pt>
                <c:pt idx="392">
                  <c:v>9507</c:v>
                </c:pt>
                <c:pt idx="393">
                  <c:v>13263</c:v>
                </c:pt>
                <c:pt idx="394">
                  <c:v>10254</c:v>
                </c:pt>
                <c:pt idx="395">
                  <c:v>11655</c:v>
                </c:pt>
                <c:pt idx="396">
                  <c:v>17160</c:v>
                </c:pt>
                <c:pt idx="397">
                  <c:v>33868</c:v>
                </c:pt>
                <c:pt idx="398">
                  <c:v>28679</c:v>
                </c:pt>
                <c:pt idx="399">
                  <c:v>32167</c:v>
                </c:pt>
                <c:pt idx="400">
                  <c:v>35595</c:v>
                </c:pt>
                <c:pt idx="401">
                  <c:v>31789</c:v>
                </c:pt>
                <c:pt idx="402">
                  <c:v>39099</c:v>
                </c:pt>
                <c:pt idx="403">
                  <c:v>46977</c:v>
                </c:pt>
                <c:pt idx="404">
                  <c:v>49867</c:v>
                </c:pt>
                <c:pt idx="405">
                  <c:v>86605</c:v>
                </c:pt>
                <c:pt idx="406">
                  <c:v>104889</c:v>
                </c:pt>
                <c:pt idx="407">
                  <c:v>121740</c:v>
                </c:pt>
                <c:pt idx="408">
                  <c:v>117763</c:v>
                </c:pt>
                <c:pt idx="409">
                  <c:v>134825</c:v>
                </c:pt>
                <c:pt idx="410">
                  <c:v>145217</c:v>
                </c:pt>
                <c:pt idx="411">
                  <c:v>62514</c:v>
                </c:pt>
                <c:pt idx="412">
                  <c:v>39561</c:v>
                </c:pt>
                <c:pt idx="413">
                  <c:v>67044</c:v>
                </c:pt>
                <c:pt idx="414">
                  <c:v>80214</c:v>
                </c:pt>
                <c:pt idx="415">
                  <c:v>76443</c:v>
                </c:pt>
                <c:pt idx="416">
                  <c:v>84852</c:v>
                </c:pt>
                <c:pt idx="417">
                  <c:v>82194</c:v>
                </c:pt>
                <c:pt idx="418">
                  <c:v>90523</c:v>
                </c:pt>
                <c:pt idx="419">
                  <c:v>105911</c:v>
                </c:pt>
                <c:pt idx="420">
                  <c:v>128719</c:v>
                </c:pt>
                <c:pt idx="421">
                  <c:v>126358</c:v>
                </c:pt>
                <c:pt idx="422">
                  <c:v>110434</c:v>
                </c:pt>
                <c:pt idx="423">
                  <c:v>103977</c:v>
                </c:pt>
                <c:pt idx="424">
                  <c:v>121190</c:v>
                </c:pt>
                <c:pt idx="425">
                  <c:v>120319</c:v>
                </c:pt>
                <c:pt idx="426">
                  <c:v>125760</c:v>
                </c:pt>
                <c:pt idx="427">
                  <c:v>117352</c:v>
                </c:pt>
                <c:pt idx="428">
                  <c:v>120956</c:v>
                </c:pt>
                <c:pt idx="429">
                  <c:v>151097</c:v>
                </c:pt>
                <c:pt idx="430">
                  <c:v>166848</c:v>
                </c:pt>
                <c:pt idx="431">
                  <c:v>169640</c:v>
                </c:pt>
                <c:pt idx="432">
                  <c:v>166118</c:v>
                </c:pt>
                <c:pt idx="433">
                  <c:v>172864</c:v>
                </c:pt>
                <c:pt idx="434">
                  <c:v>181788</c:v>
                </c:pt>
                <c:pt idx="435">
                  <c:v>197750</c:v>
                </c:pt>
                <c:pt idx="436">
                  <c:v>75529</c:v>
                </c:pt>
                <c:pt idx="437">
                  <c:v>85952</c:v>
                </c:pt>
                <c:pt idx="438">
                  <c:v>97990</c:v>
                </c:pt>
                <c:pt idx="439">
                  <c:v>111514</c:v>
                </c:pt>
                <c:pt idx="440">
                  <c:v>144806</c:v>
                </c:pt>
                <c:pt idx="441">
                  <c:v>114721</c:v>
                </c:pt>
                <c:pt idx="442">
                  <c:v>121445</c:v>
                </c:pt>
                <c:pt idx="443">
                  <c:v>136545</c:v>
                </c:pt>
                <c:pt idx="444">
                  <c:v>150651</c:v>
                </c:pt>
                <c:pt idx="445">
                  <c:v>165118</c:v>
                </c:pt>
                <c:pt idx="446">
                  <c:v>164127</c:v>
                </c:pt>
                <c:pt idx="447">
                  <c:v>173239</c:v>
                </c:pt>
                <c:pt idx="448">
                  <c:v>161415</c:v>
                </c:pt>
                <c:pt idx="449">
                  <c:v>199639</c:v>
                </c:pt>
                <c:pt idx="450">
                  <c:v>209275</c:v>
                </c:pt>
                <c:pt idx="451">
                  <c:v>213206</c:v>
                </c:pt>
                <c:pt idx="452">
                  <c:v>221353</c:v>
                </c:pt>
                <c:pt idx="453">
                  <c:v>229003</c:v>
                </c:pt>
                <c:pt idx="454">
                  <c:v>255569</c:v>
                </c:pt>
                <c:pt idx="455">
                  <c:v>269228</c:v>
                </c:pt>
                <c:pt idx="456">
                  <c:v>62224</c:v>
                </c:pt>
                <c:pt idx="457">
                  <c:v>105460</c:v>
                </c:pt>
                <c:pt idx="458">
                  <c:v>123195</c:v>
                </c:pt>
                <c:pt idx="459">
                  <c:v>136194</c:v>
                </c:pt>
                <c:pt idx="460">
                  <c:v>164966</c:v>
                </c:pt>
                <c:pt idx="461">
                  <c:v>171065</c:v>
                </c:pt>
                <c:pt idx="462">
                  <c:v>181867</c:v>
                </c:pt>
                <c:pt idx="463">
                  <c:v>188142</c:v>
                </c:pt>
                <c:pt idx="464">
                  <c:v>202098</c:v>
                </c:pt>
                <c:pt idx="465">
                  <c:v>198014</c:v>
                </c:pt>
                <c:pt idx="466">
                  <c:v>200946</c:v>
                </c:pt>
                <c:pt idx="467">
                  <c:v>204439</c:v>
                </c:pt>
                <c:pt idx="468">
                  <c:v>218106</c:v>
                </c:pt>
                <c:pt idx="469">
                  <c:v>248057</c:v>
                </c:pt>
                <c:pt idx="470">
                  <c:v>216878</c:v>
                </c:pt>
                <c:pt idx="471">
                  <c:v>229066</c:v>
                </c:pt>
                <c:pt idx="472">
                  <c:v>252953</c:v>
                </c:pt>
                <c:pt idx="473">
                  <c:v>275226</c:v>
                </c:pt>
                <c:pt idx="474">
                  <c:v>288429</c:v>
                </c:pt>
                <c:pt idx="475">
                  <c:v>298591</c:v>
                </c:pt>
                <c:pt idx="476">
                  <c:v>73189</c:v>
                </c:pt>
                <c:pt idx="477">
                  <c:v>113825</c:v>
                </c:pt>
                <c:pt idx="478">
                  <c:v>122745</c:v>
                </c:pt>
                <c:pt idx="479">
                  <c:v>144701</c:v>
                </c:pt>
                <c:pt idx="480">
                  <c:v>177237</c:v>
                </c:pt>
                <c:pt idx="481">
                  <c:v>189827</c:v>
                </c:pt>
                <c:pt idx="482">
                  <c:v>216295</c:v>
                </c:pt>
                <c:pt idx="483">
                  <c:v>230899</c:v>
                </c:pt>
                <c:pt idx="484">
                  <c:v>236781</c:v>
                </c:pt>
                <c:pt idx="485">
                  <c:v>235412</c:v>
                </c:pt>
                <c:pt idx="486">
                  <c:v>231429</c:v>
                </c:pt>
                <c:pt idx="487">
                  <c:v>236590</c:v>
                </c:pt>
                <c:pt idx="488">
                  <c:v>237411</c:v>
                </c:pt>
                <c:pt idx="489">
                  <c:v>256259</c:v>
                </c:pt>
                <c:pt idx="490">
                  <c:v>281418</c:v>
                </c:pt>
                <c:pt idx="491">
                  <c:v>297112</c:v>
                </c:pt>
                <c:pt idx="492">
                  <c:v>304418</c:v>
                </c:pt>
                <c:pt idx="493">
                  <c:v>313763</c:v>
                </c:pt>
                <c:pt idx="494">
                  <c:v>332705</c:v>
                </c:pt>
                <c:pt idx="495">
                  <c:v>328172</c:v>
                </c:pt>
                <c:pt idx="496">
                  <c:v>324587</c:v>
                </c:pt>
                <c:pt idx="497">
                  <c:v>324505</c:v>
                </c:pt>
                <c:pt idx="498">
                  <c:v>310061</c:v>
                </c:pt>
                <c:pt idx="499">
                  <c:v>334905</c:v>
                </c:pt>
                <c:pt idx="500">
                  <c:v>346357</c:v>
                </c:pt>
                <c:pt idx="501">
                  <c:v>140307</c:v>
                </c:pt>
                <c:pt idx="502">
                  <c:v>197056</c:v>
                </c:pt>
                <c:pt idx="503">
                  <c:v>196270</c:v>
                </c:pt>
                <c:pt idx="504">
                  <c:v>214108</c:v>
                </c:pt>
                <c:pt idx="505">
                  <c:v>225548</c:v>
                </c:pt>
                <c:pt idx="506">
                  <c:v>251350</c:v>
                </c:pt>
                <c:pt idx="507">
                  <c:v>264969</c:v>
                </c:pt>
                <c:pt idx="508">
                  <c:v>346994</c:v>
                </c:pt>
                <c:pt idx="509">
                  <c:v>411813</c:v>
                </c:pt>
                <c:pt idx="510">
                  <c:v>452034</c:v>
                </c:pt>
                <c:pt idx="511">
                  <c:v>436583</c:v>
                </c:pt>
                <c:pt idx="512">
                  <c:v>445683</c:v>
                </c:pt>
                <c:pt idx="513">
                  <c:v>413882</c:v>
                </c:pt>
                <c:pt idx="514">
                  <c:v>446262</c:v>
                </c:pt>
                <c:pt idx="515">
                  <c:v>453181</c:v>
                </c:pt>
                <c:pt idx="516">
                  <c:v>443701</c:v>
                </c:pt>
                <c:pt idx="517">
                  <c:v>455299</c:v>
                </c:pt>
                <c:pt idx="518">
                  <c:v>463565</c:v>
                </c:pt>
                <c:pt idx="519">
                  <c:v>481935</c:v>
                </c:pt>
                <c:pt idx="520">
                  <c:v>485898</c:v>
                </c:pt>
                <c:pt idx="521">
                  <c:v>470632</c:v>
                </c:pt>
                <c:pt idx="522">
                  <c:v>489906</c:v>
                </c:pt>
                <c:pt idx="523">
                  <c:v>493272</c:v>
                </c:pt>
                <c:pt idx="524">
                  <c:v>501933</c:v>
                </c:pt>
                <c:pt idx="525">
                  <c:v>528184</c:v>
                </c:pt>
                <c:pt idx="526">
                  <c:v>395327</c:v>
                </c:pt>
                <c:pt idx="527">
                  <c:v>420949</c:v>
                </c:pt>
                <c:pt idx="528">
                  <c:v>491780</c:v>
                </c:pt>
                <c:pt idx="529">
                  <c:v>490546</c:v>
                </c:pt>
                <c:pt idx="530">
                  <c:v>485785</c:v>
                </c:pt>
                <c:pt idx="531">
                  <c:v>484125</c:v>
                </c:pt>
                <c:pt idx="532">
                  <c:v>464848</c:v>
                </c:pt>
                <c:pt idx="533">
                  <c:v>488884</c:v>
                </c:pt>
                <c:pt idx="534">
                  <c:v>479441</c:v>
                </c:pt>
                <c:pt idx="535">
                  <c:v>472456</c:v>
                </c:pt>
                <c:pt idx="536">
                  <c:v>486365</c:v>
                </c:pt>
                <c:pt idx="537">
                  <c:v>488689</c:v>
                </c:pt>
                <c:pt idx="538">
                  <c:v>511438</c:v>
                </c:pt>
                <c:pt idx="539">
                  <c:v>503388</c:v>
                </c:pt>
                <c:pt idx="540">
                  <c:v>495351</c:v>
                </c:pt>
                <c:pt idx="541">
                  <c:v>494726</c:v>
                </c:pt>
                <c:pt idx="542">
                  <c:v>496108</c:v>
                </c:pt>
                <c:pt idx="543">
                  <c:v>507876</c:v>
                </c:pt>
                <c:pt idx="544">
                  <c:v>510234</c:v>
                </c:pt>
                <c:pt idx="545">
                  <c:v>524044</c:v>
                </c:pt>
                <c:pt idx="546">
                  <c:v>391550</c:v>
                </c:pt>
                <c:pt idx="547">
                  <c:v>416738</c:v>
                </c:pt>
                <c:pt idx="548">
                  <c:v>454356</c:v>
                </c:pt>
                <c:pt idx="549">
                  <c:v>464186</c:v>
                </c:pt>
                <c:pt idx="550">
                  <c:v>449052</c:v>
                </c:pt>
                <c:pt idx="551">
                  <c:v>466403</c:v>
                </c:pt>
                <c:pt idx="552">
                  <c:v>475856</c:v>
                </c:pt>
                <c:pt idx="553">
                  <c:v>477324</c:v>
                </c:pt>
                <c:pt idx="554">
                  <c:v>475240</c:v>
                </c:pt>
                <c:pt idx="555">
                  <c:v>481144</c:v>
                </c:pt>
                <c:pt idx="556">
                  <c:v>475219</c:v>
                </c:pt>
                <c:pt idx="557">
                  <c:v>776941</c:v>
                </c:pt>
                <c:pt idx="558">
                  <c:v>820819</c:v>
                </c:pt>
                <c:pt idx="559">
                  <c:v>827534</c:v>
                </c:pt>
                <c:pt idx="560">
                  <c:v>816759</c:v>
                </c:pt>
                <c:pt idx="561">
                  <c:v>806953</c:v>
                </c:pt>
                <c:pt idx="562">
                  <c:v>800573</c:v>
                </c:pt>
                <c:pt idx="563">
                  <c:v>797953</c:v>
                </c:pt>
                <c:pt idx="564">
                  <c:v>795166</c:v>
                </c:pt>
                <c:pt idx="565">
                  <c:v>815986</c:v>
                </c:pt>
                <c:pt idx="566">
                  <c:v>686426</c:v>
                </c:pt>
                <c:pt idx="567">
                  <c:v>727736</c:v>
                </c:pt>
                <c:pt idx="568">
                  <c:v>758754</c:v>
                </c:pt>
                <c:pt idx="569">
                  <c:v>765160</c:v>
                </c:pt>
                <c:pt idx="570">
                  <c:v>768862</c:v>
                </c:pt>
                <c:pt idx="571">
                  <c:v>755335</c:v>
                </c:pt>
                <c:pt idx="572">
                  <c:v>763288</c:v>
                </c:pt>
                <c:pt idx="573">
                  <c:v>785393</c:v>
                </c:pt>
                <c:pt idx="574">
                  <c:v>769752</c:v>
                </c:pt>
                <c:pt idx="575">
                  <c:v>773687</c:v>
                </c:pt>
                <c:pt idx="576">
                  <c:v>777163</c:v>
                </c:pt>
                <c:pt idx="577">
                  <c:v>786013</c:v>
                </c:pt>
                <c:pt idx="578">
                  <c:v>778702</c:v>
                </c:pt>
                <c:pt idx="579">
                  <c:v>782855</c:v>
                </c:pt>
                <c:pt idx="580">
                  <c:v>786240</c:v>
                </c:pt>
                <c:pt idx="581">
                  <c:v>773364</c:v>
                </c:pt>
                <c:pt idx="582">
                  <c:v>784829</c:v>
                </c:pt>
                <c:pt idx="583">
                  <c:v>787959</c:v>
                </c:pt>
                <c:pt idx="584">
                  <c:v>652943</c:v>
                </c:pt>
                <c:pt idx="585">
                  <c:v>705625</c:v>
                </c:pt>
                <c:pt idx="586">
                  <c:v>742825</c:v>
                </c:pt>
                <c:pt idx="587">
                  <c:v>745178</c:v>
                </c:pt>
                <c:pt idx="588">
                  <c:v>757828</c:v>
                </c:pt>
                <c:pt idx="589">
                  <c:v>756721</c:v>
                </c:pt>
                <c:pt idx="590">
                  <c:v>746466</c:v>
                </c:pt>
                <c:pt idx="591">
                  <c:v>775650</c:v>
                </c:pt>
                <c:pt idx="592">
                  <c:v>767804</c:v>
                </c:pt>
                <c:pt idx="593">
                  <c:v>759324</c:v>
                </c:pt>
                <c:pt idx="594">
                  <c:v>782336</c:v>
                </c:pt>
                <c:pt idx="595">
                  <c:v>791315</c:v>
                </c:pt>
                <c:pt idx="596">
                  <c:v>793958</c:v>
                </c:pt>
                <c:pt idx="597">
                  <c:v>789277</c:v>
                </c:pt>
                <c:pt idx="598">
                  <c:v>803064</c:v>
                </c:pt>
                <c:pt idx="599">
                  <c:v>805701</c:v>
                </c:pt>
                <c:pt idx="600">
                  <c:v>801489</c:v>
                </c:pt>
                <c:pt idx="601">
                  <c:v>782306</c:v>
                </c:pt>
                <c:pt idx="602">
                  <c:v>823293</c:v>
                </c:pt>
                <c:pt idx="603">
                  <c:v>695845</c:v>
                </c:pt>
                <c:pt idx="604">
                  <c:v>702734</c:v>
                </c:pt>
                <c:pt idx="605">
                  <c:v>763119</c:v>
                </c:pt>
                <c:pt idx="606">
                  <c:v>788181</c:v>
                </c:pt>
                <c:pt idx="607">
                  <c:v>788371</c:v>
                </c:pt>
                <c:pt idx="608">
                  <c:v>785137</c:v>
                </c:pt>
                <c:pt idx="609">
                  <c:v>762427</c:v>
                </c:pt>
                <c:pt idx="610">
                  <c:v>789715</c:v>
                </c:pt>
                <c:pt idx="611">
                  <c:v>768250</c:v>
                </c:pt>
                <c:pt idx="612">
                  <c:v>764033</c:v>
                </c:pt>
                <c:pt idx="613">
                  <c:v>765931</c:v>
                </c:pt>
                <c:pt idx="614">
                  <c:v>760988</c:v>
                </c:pt>
                <c:pt idx="615">
                  <c:v>760102</c:v>
                </c:pt>
                <c:pt idx="616">
                  <c:v>741856</c:v>
                </c:pt>
                <c:pt idx="617">
                  <c:v>759687</c:v>
                </c:pt>
                <c:pt idx="618">
                  <c:v>769642</c:v>
                </c:pt>
                <c:pt idx="619">
                  <c:v>769306</c:v>
                </c:pt>
                <c:pt idx="620">
                  <c:v>784973</c:v>
                </c:pt>
                <c:pt idx="621">
                  <c:v>781499</c:v>
                </c:pt>
                <c:pt idx="622">
                  <c:v>787256</c:v>
                </c:pt>
                <c:pt idx="623">
                  <c:v>784624</c:v>
                </c:pt>
                <c:pt idx="624">
                  <c:v>756573</c:v>
                </c:pt>
                <c:pt idx="625">
                  <c:v>788218</c:v>
                </c:pt>
                <c:pt idx="626">
                  <c:v>787428</c:v>
                </c:pt>
                <c:pt idx="627">
                  <c:v>798179</c:v>
                </c:pt>
                <c:pt idx="628">
                  <c:v>703532</c:v>
                </c:pt>
                <c:pt idx="629">
                  <c:v>699633</c:v>
                </c:pt>
                <c:pt idx="630">
                  <c:v>741191</c:v>
                </c:pt>
                <c:pt idx="631">
                  <c:v>763564</c:v>
                </c:pt>
                <c:pt idx="632">
                  <c:v>764455</c:v>
                </c:pt>
                <c:pt idx="633">
                  <c:v>779764</c:v>
                </c:pt>
                <c:pt idx="634">
                  <c:v>769056</c:v>
                </c:pt>
                <c:pt idx="635">
                  <c:v>775263</c:v>
                </c:pt>
                <c:pt idx="636">
                  <c:v>750196</c:v>
                </c:pt>
                <c:pt idx="637">
                  <c:v>747432</c:v>
                </c:pt>
                <c:pt idx="638">
                  <c:v>772588</c:v>
                </c:pt>
                <c:pt idx="639">
                  <c:v>782238</c:v>
                </c:pt>
                <c:pt idx="640">
                  <c:v>772855</c:v>
                </c:pt>
                <c:pt idx="641">
                  <c:v>802138</c:v>
                </c:pt>
                <c:pt idx="642">
                  <c:v>806518</c:v>
                </c:pt>
                <c:pt idx="643">
                  <c:v>790982</c:v>
                </c:pt>
                <c:pt idx="644">
                  <c:v>790656</c:v>
                </c:pt>
                <c:pt idx="645">
                  <c:v>795203</c:v>
                </c:pt>
                <c:pt idx="646">
                  <c:v>791248</c:v>
                </c:pt>
                <c:pt idx="647">
                  <c:v>808516</c:v>
                </c:pt>
                <c:pt idx="648">
                  <c:v>324931</c:v>
                </c:pt>
                <c:pt idx="649">
                  <c:v>366180</c:v>
                </c:pt>
                <c:pt idx="650">
                  <c:v>386826</c:v>
                </c:pt>
                <c:pt idx="651">
                  <c:v>403944</c:v>
                </c:pt>
                <c:pt idx="652">
                  <c:v>382004</c:v>
                </c:pt>
                <c:pt idx="653">
                  <c:v>359626</c:v>
                </c:pt>
                <c:pt idx="654">
                  <c:v>356821</c:v>
                </c:pt>
                <c:pt idx="655">
                  <c:v>349434</c:v>
                </c:pt>
                <c:pt idx="656">
                  <c:v>355881</c:v>
                </c:pt>
                <c:pt idx="657">
                  <c:v>324084</c:v>
                </c:pt>
                <c:pt idx="658">
                  <c:v>337073</c:v>
                </c:pt>
                <c:pt idx="659">
                  <c:v>321034</c:v>
                </c:pt>
                <c:pt idx="660">
                  <c:v>337025</c:v>
                </c:pt>
                <c:pt idx="661">
                  <c:v>335731</c:v>
                </c:pt>
                <c:pt idx="662">
                  <c:v>337467</c:v>
                </c:pt>
                <c:pt idx="663">
                  <c:v>328282</c:v>
                </c:pt>
                <c:pt idx="664">
                  <c:v>323608</c:v>
                </c:pt>
                <c:pt idx="665">
                  <c:v>300384</c:v>
                </c:pt>
                <c:pt idx="666">
                  <c:v>311714</c:v>
                </c:pt>
                <c:pt idx="667">
                  <c:v>316658</c:v>
                </c:pt>
                <c:pt idx="668">
                  <c:v>278045</c:v>
                </c:pt>
                <c:pt idx="669">
                  <c:v>289199</c:v>
                </c:pt>
                <c:pt idx="670">
                  <c:v>310822</c:v>
                </c:pt>
                <c:pt idx="671">
                  <c:v>326167</c:v>
                </c:pt>
                <c:pt idx="672">
                  <c:v>329038</c:v>
                </c:pt>
                <c:pt idx="673">
                  <c:v>351176</c:v>
                </c:pt>
                <c:pt idx="674">
                  <c:v>322480</c:v>
                </c:pt>
                <c:pt idx="675">
                  <c:v>326920</c:v>
                </c:pt>
                <c:pt idx="676">
                  <c:v>333373</c:v>
                </c:pt>
                <c:pt idx="677">
                  <c:v>326505</c:v>
                </c:pt>
                <c:pt idx="678">
                  <c:v>335506</c:v>
                </c:pt>
                <c:pt idx="679">
                  <c:v>329916</c:v>
                </c:pt>
                <c:pt idx="680">
                  <c:v>329348</c:v>
                </c:pt>
                <c:pt idx="681">
                  <c:v>332740</c:v>
                </c:pt>
                <c:pt idx="682">
                  <c:v>331841</c:v>
                </c:pt>
                <c:pt idx="683">
                  <c:v>333565</c:v>
                </c:pt>
                <c:pt idx="684">
                  <c:v>330306</c:v>
                </c:pt>
                <c:pt idx="685">
                  <c:v>345956</c:v>
                </c:pt>
                <c:pt idx="686">
                  <c:v>341001</c:v>
                </c:pt>
                <c:pt idx="687">
                  <c:v>342050</c:v>
                </c:pt>
                <c:pt idx="688">
                  <c:v>347014</c:v>
                </c:pt>
                <c:pt idx="689">
                  <c:v>342420</c:v>
                </c:pt>
                <c:pt idx="690">
                  <c:v>326804</c:v>
                </c:pt>
                <c:pt idx="691">
                  <c:v>330906</c:v>
                </c:pt>
                <c:pt idx="692">
                  <c:v>330065</c:v>
                </c:pt>
                <c:pt idx="693">
                  <c:v>314958</c:v>
                </c:pt>
                <c:pt idx="694">
                  <c:v>319841</c:v>
                </c:pt>
                <c:pt idx="695">
                  <c:v>335048</c:v>
                </c:pt>
                <c:pt idx="696">
                  <c:v>305815</c:v>
                </c:pt>
                <c:pt idx="697">
                  <c:v>318040</c:v>
                </c:pt>
                <c:pt idx="698">
                  <c:v>298812</c:v>
                </c:pt>
                <c:pt idx="699">
                  <c:v>302204</c:v>
                </c:pt>
                <c:pt idx="700">
                  <c:v>305647</c:v>
                </c:pt>
                <c:pt idx="701">
                  <c:v>303915</c:v>
                </c:pt>
                <c:pt idx="702">
                  <c:v>307346</c:v>
                </c:pt>
                <c:pt idx="703">
                  <c:v>308154</c:v>
                </c:pt>
                <c:pt idx="704">
                  <c:v>288868</c:v>
                </c:pt>
                <c:pt idx="705">
                  <c:v>315754</c:v>
                </c:pt>
                <c:pt idx="706">
                  <c:v>294862</c:v>
                </c:pt>
                <c:pt idx="707">
                  <c:v>296891</c:v>
                </c:pt>
                <c:pt idx="708">
                  <c:v>279315</c:v>
                </c:pt>
                <c:pt idx="709">
                  <c:v>277772</c:v>
                </c:pt>
                <c:pt idx="710">
                  <c:v>296464</c:v>
                </c:pt>
                <c:pt idx="711">
                  <c:v>290077</c:v>
                </c:pt>
                <c:pt idx="712">
                  <c:v>287434</c:v>
                </c:pt>
                <c:pt idx="713">
                  <c:v>242931</c:v>
                </c:pt>
                <c:pt idx="714">
                  <c:v>243170</c:v>
                </c:pt>
                <c:pt idx="715">
                  <c:v>260477</c:v>
                </c:pt>
                <c:pt idx="716">
                  <c:v>251358</c:v>
                </c:pt>
                <c:pt idx="717">
                  <c:v>257880</c:v>
                </c:pt>
                <c:pt idx="718">
                  <c:v>261617</c:v>
                </c:pt>
                <c:pt idx="719">
                  <c:v>256452</c:v>
                </c:pt>
                <c:pt idx="720">
                  <c:v>248711</c:v>
                </c:pt>
                <c:pt idx="721">
                  <c:v>251571</c:v>
                </c:pt>
                <c:pt idx="722">
                  <c:v>246684</c:v>
                </c:pt>
                <c:pt idx="723">
                  <c:v>245073</c:v>
                </c:pt>
                <c:pt idx="724">
                  <c:v>248538</c:v>
                </c:pt>
                <c:pt idx="725">
                  <c:v>266967</c:v>
                </c:pt>
                <c:pt idx="726">
                  <c:v>273454</c:v>
                </c:pt>
                <c:pt idx="727">
                  <c:v>274050</c:v>
                </c:pt>
                <c:pt idx="728">
                  <c:v>274049</c:v>
                </c:pt>
                <c:pt idx="729">
                  <c:v>258289</c:v>
                </c:pt>
                <c:pt idx="730">
                  <c:v>261368</c:v>
                </c:pt>
                <c:pt idx="731">
                  <c:v>261414</c:v>
                </c:pt>
                <c:pt idx="732">
                  <c:v>253101</c:v>
                </c:pt>
                <c:pt idx="733">
                  <c:v>255687</c:v>
                </c:pt>
                <c:pt idx="734">
                  <c:v>257847</c:v>
                </c:pt>
                <c:pt idx="735">
                  <c:v>248511</c:v>
                </c:pt>
                <c:pt idx="736">
                  <c:v>251564</c:v>
                </c:pt>
                <c:pt idx="737">
                  <c:v>239450</c:v>
                </c:pt>
                <c:pt idx="738">
                  <c:v>217727</c:v>
                </c:pt>
                <c:pt idx="739">
                  <c:v>214094</c:v>
                </c:pt>
                <c:pt idx="740">
                  <c:v>215900</c:v>
                </c:pt>
                <c:pt idx="741">
                  <c:v>240454</c:v>
                </c:pt>
                <c:pt idx="742">
                  <c:v>229689</c:v>
                </c:pt>
                <c:pt idx="743">
                  <c:v>226332</c:v>
                </c:pt>
                <c:pt idx="744">
                  <c:v>228821</c:v>
                </c:pt>
                <c:pt idx="745">
                  <c:v>233558</c:v>
                </c:pt>
                <c:pt idx="746">
                  <c:v>245197</c:v>
                </c:pt>
                <c:pt idx="747">
                  <c:v>241913</c:v>
                </c:pt>
                <c:pt idx="748">
                  <c:v>244982</c:v>
                </c:pt>
                <c:pt idx="749">
                  <c:v>234999</c:v>
                </c:pt>
                <c:pt idx="750">
                  <c:v>237813</c:v>
                </c:pt>
                <c:pt idx="751">
                  <c:v>239440</c:v>
                </c:pt>
                <c:pt idx="752">
                  <c:v>234755</c:v>
                </c:pt>
                <c:pt idx="753">
                  <c:v>229295</c:v>
                </c:pt>
                <c:pt idx="754">
                  <c:v>229967</c:v>
                </c:pt>
                <c:pt idx="755">
                  <c:v>235296</c:v>
                </c:pt>
                <c:pt idx="756">
                  <c:v>229013</c:v>
                </c:pt>
                <c:pt idx="757">
                  <c:v>236660</c:v>
                </c:pt>
                <c:pt idx="758">
                  <c:v>195147</c:v>
                </c:pt>
                <c:pt idx="759">
                  <c:v>204382</c:v>
                </c:pt>
                <c:pt idx="760">
                  <c:v>225063</c:v>
                </c:pt>
                <c:pt idx="761">
                  <c:v>249007</c:v>
                </c:pt>
                <c:pt idx="762">
                  <c:v>239109</c:v>
                </c:pt>
                <c:pt idx="763">
                  <c:v>232556</c:v>
                </c:pt>
                <c:pt idx="764">
                  <c:v>231450</c:v>
                </c:pt>
                <c:pt idx="765">
                  <c:v>229384</c:v>
                </c:pt>
                <c:pt idx="766">
                  <c:v>221623</c:v>
                </c:pt>
                <c:pt idx="767">
                  <c:v>252030</c:v>
                </c:pt>
                <c:pt idx="768">
                  <c:v>261689</c:v>
                </c:pt>
                <c:pt idx="769">
                  <c:v>280219</c:v>
                </c:pt>
                <c:pt idx="770">
                  <c:v>275943</c:v>
                </c:pt>
                <c:pt idx="771">
                  <c:v>250478</c:v>
                </c:pt>
                <c:pt idx="772">
                  <c:v>252615</c:v>
                </c:pt>
                <c:pt idx="773">
                  <c:v>244528</c:v>
                </c:pt>
                <c:pt idx="774">
                  <c:v>243475</c:v>
                </c:pt>
                <c:pt idx="775">
                  <c:v>233586</c:v>
                </c:pt>
                <c:pt idx="776">
                  <c:v>231520</c:v>
                </c:pt>
                <c:pt idx="777">
                  <c:v>222608</c:v>
                </c:pt>
                <c:pt idx="778">
                  <c:v>230533</c:v>
                </c:pt>
                <c:pt idx="779">
                  <c:v>230532</c:v>
                </c:pt>
                <c:pt idx="780">
                  <c:v>173298</c:v>
                </c:pt>
                <c:pt idx="781">
                  <c:v>179106</c:v>
                </c:pt>
                <c:pt idx="782">
                  <c:v>196399</c:v>
                </c:pt>
                <c:pt idx="783">
                  <c:v>207058</c:v>
                </c:pt>
                <c:pt idx="784">
                  <c:v>203612</c:v>
                </c:pt>
                <c:pt idx="785">
                  <c:v>206832</c:v>
                </c:pt>
                <c:pt idx="786">
                  <c:v>210290</c:v>
                </c:pt>
                <c:pt idx="787">
                  <c:v>207198</c:v>
                </c:pt>
                <c:pt idx="788">
                  <c:v>211782</c:v>
                </c:pt>
                <c:pt idx="789">
                  <c:v>208093</c:v>
                </c:pt>
                <c:pt idx="790">
                  <c:v>165846</c:v>
                </c:pt>
                <c:pt idx="791">
                  <c:v>185346</c:v>
                </c:pt>
                <c:pt idx="792">
                  <c:v>180957</c:v>
                </c:pt>
                <c:pt idx="793">
                  <c:v>176170</c:v>
                </c:pt>
                <c:pt idx="794">
                  <c:v>178012</c:v>
                </c:pt>
                <c:pt idx="795">
                  <c:v>162082</c:v>
                </c:pt>
                <c:pt idx="796">
                  <c:v>152286</c:v>
                </c:pt>
                <c:pt idx="797">
                  <c:v>157198</c:v>
                </c:pt>
                <c:pt idx="798">
                  <c:v>159193</c:v>
                </c:pt>
                <c:pt idx="799">
                  <c:v>156853</c:v>
                </c:pt>
                <c:pt idx="800">
                  <c:v>125613</c:v>
                </c:pt>
                <c:pt idx="801">
                  <c:v>124279</c:v>
                </c:pt>
                <c:pt idx="802">
                  <c:v>131885</c:v>
                </c:pt>
                <c:pt idx="803">
                  <c:v>143519</c:v>
                </c:pt>
                <c:pt idx="804">
                  <c:v>164510</c:v>
                </c:pt>
                <c:pt idx="805">
                  <c:v>165318</c:v>
                </c:pt>
                <c:pt idx="806">
                  <c:v>162244</c:v>
                </c:pt>
                <c:pt idx="807">
                  <c:v>166437</c:v>
                </c:pt>
                <c:pt idx="808">
                  <c:v>159760</c:v>
                </c:pt>
                <c:pt idx="809">
                  <c:v>163356</c:v>
                </c:pt>
                <c:pt idx="810">
                  <c:v>136737</c:v>
                </c:pt>
                <c:pt idx="811">
                  <c:v>153707</c:v>
                </c:pt>
                <c:pt idx="812">
                  <c:v>144710</c:v>
                </c:pt>
                <c:pt idx="813">
                  <c:v>142054</c:v>
                </c:pt>
                <c:pt idx="814">
                  <c:v>146646</c:v>
                </c:pt>
                <c:pt idx="815">
                  <c:v>139396</c:v>
                </c:pt>
                <c:pt idx="816">
                  <c:v>129139</c:v>
                </c:pt>
                <c:pt idx="817">
                  <c:v>134083</c:v>
                </c:pt>
                <c:pt idx="818">
                  <c:v>131597</c:v>
                </c:pt>
                <c:pt idx="819">
                  <c:v>149351</c:v>
                </c:pt>
                <c:pt idx="820">
                  <c:v>112914</c:v>
                </c:pt>
                <c:pt idx="821">
                  <c:v>117834</c:v>
                </c:pt>
                <c:pt idx="822">
                  <c:v>132634</c:v>
                </c:pt>
                <c:pt idx="823">
                  <c:v>134961</c:v>
                </c:pt>
                <c:pt idx="824">
                  <c:v>133562</c:v>
                </c:pt>
                <c:pt idx="825">
                  <c:v>130534</c:v>
                </c:pt>
                <c:pt idx="826">
                  <c:v>132196</c:v>
                </c:pt>
                <c:pt idx="827">
                  <c:v>126755</c:v>
                </c:pt>
                <c:pt idx="828">
                  <c:v>128934</c:v>
                </c:pt>
                <c:pt idx="829">
                  <c:v>118182</c:v>
                </c:pt>
                <c:pt idx="830">
                  <c:v>145036</c:v>
                </c:pt>
                <c:pt idx="831">
                  <c:v>144876</c:v>
                </c:pt>
                <c:pt idx="832">
                  <c:v>144876</c:v>
                </c:pt>
                <c:pt idx="833">
                  <c:v>144876</c:v>
                </c:pt>
                <c:pt idx="834">
                  <c:v>144876</c:v>
                </c:pt>
                <c:pt idx="835">
                  <c:v>144876</c:v>
                </c:pt>
                <c:pt idx="836">
                  <c:v>146175</c:v>
                </c:pt>
                <c:pt idx="837">
                  <c:v>139245</c:v>
                </c:pt>
                <c:pt idx="838">
                  <c:v>135500</c:v>
                </c:pt>
                <c:pt idx="839">
                  <c:v>134902</c:v>
                </c:pt>
                <c:pt idx="840">
                  <c:v>134902</c:v>
                </c:pt>
                <c:pt idx="841">
                  <c:v>134902</c:v>
                </c:pt>
                <c:pt idx="842">
                  <c:v>129510</c:v>
                </c:pt>
                <c:pt idx="843">
                  <c:v>136326</c:v>
                </c:pt>
                <c:pt idx="844">
                  <c:v>99935</c:v>
                </c:pt>
                <c:pt idx="845">
                  <c:v>108854</c:v>
                </c:pt>
                <c:pt idx="846">
                  <c:v>119906</c:v>
                </c:pt>
                <c:pt idx="847">
                  <c:v>119906</c:v>
                </c:pt>
                <c:pt idx="848">
                  <c:v>119906</c:v>
                </c:pt>
                <c:pt idx="849">
                  <c:v>116204</c:v>
                </c:pt>
                <c:pt idx="850">
                  <c:v>115237</c:v>
                </c:pt>
                <c:pt idx="851">
                  <c:v>119557</c:v>
                </c:pt>
                <c:pt idx="852">
                  <c:v>115131</c:v>
                </c:pt>
                <c:pt idx="853">
                  <c:v>105590</c:v>
                </c:pt>
                <c:pt idx="854">
                  <c:v>105590</c:v>
                </c:pt>
                <c:pt idx="855">
                  <c:v>105590</c:v>
                </c:pt>
                <c:pt idx="856">
                  <c:v>108247</c:v>
                </c:pt>
                <c:pt idx="857">
                  <c:v>102413</c:v>
                </c:pt>
                <c:pt idx="858">
                  <c:v>114079</c:v>
                </c:pt>
                <c:pt idx="859">
                  <c:v>111473</c:v>
                </c:pt>
                <c:pt idx="860">
                  <c:v>109662</c:v>
                </c:pt>
                <c:pt idx="861">
                  <c:v>109662</c:v>
                </c:pt>
                <c:pt idx="862">
                  <c:v>109662</c:v>
                </c:pt>
                <c:pt idx="863">
                  <c:v>119131</c:v>
                </c:pt>
                <c:pt idx="864">
                  <c:v>120832</c:v>
                </c:pt>
                <c:pt idx="865">
                  <c:v>120832</c:v>
                </c:pt>
                <c:pt idx="866">
                  <c:v>110171</c:v>
                </c:pt>
                <c:pt idx="867">
                  <c:v>124102</c:v>
                </c:pt>
                <c:pt idx="868">
                  <c:v>124102</c:v>
                </c:pt>
                <c:pt idx="869">
                  <c:v>124102</c:v>
                </c:pt>
                <c:pt idx="870">
                  <c:v>124856</c:v>
                </c:pt>
                <c:pt idx="871">
                  <c:v>120445</c:v>
                </c:pt>
                <c:pt idx="872">
                  <c:v>81141</c:v>
                </c:pt>
                <c:pt idx="873">
                  <c:v>86469</c:v>
                </c:pt>
                <c:pt idx="874">
                  <c:v>95339</c:v>
                </c:pt>
                <c:pt idx="875">
                  <c:v>95339</c:v>
                </c:pt>
                <c:pt idx="876">
                  <c:v>95339</c:v>
                </c:pt>
                <c:pt idx="877">
                  <c:v>101419</c:v>
                </c:pt>
                <c:pt idx="878">
                  <c:v>101540</c:v>
                </c:pt>
                <c:pt idx="879">
                  <c:v>96065</c:v>
                </c:pt>
                <c:pt idx="880">
                  <c:v>96651</c:v>
                </c:pt>
                <c:pt idx="881">
                  <c:v>83039</c:v>
                </c:pt>
                <c:pt idx="882">
                  <c:v>83039</c:v>
                </c:pt>
                <c:pt idx="883">
                  <c:v>83039</c:v>
                </c:pt>
                <c:pt idx="884">
                  <c:v>84993</c:v>
                </c:pt>
                <c:pt idx="885">
                  <c:v>81757</c:v>
                </c:pt>
                <c:pt idx="886">
                  <c:v>84406</c:v>
                </c:pt>
                <c:pt idx="887">
                  <c:v>90637</c:v>
                </c:pt>
                <c:pt idx="888">
                  <c:v>81037</c:v>
                </c:pt>
                <c:pt idx="889">
                  <c:v>81037</c:v>
                </c:pt>
                <c:pt idx="890">
                  <c:v>81037</c:v>
                </c:pt>
                <c:pt idx="891">
                  <c:v>86808</c:v>
                </c:pt>
                <c:pt idx="892">
                  <c:v>82449</c:v>
                </c:pt>
                <c:pt idx="893">
                  <c:v>82393</c:v>
                </c:pt>
                <c:pt idx="894">
                  <c:v>85560</c:v>
                </c:pt>
                <c:pt idx="895">
                  <c:v>85640</c:v>
                </c:pt>
                <c:pt idx="896">
                  <c:v>85640</c:v>
                </c:pt>
                <c:pt idx="897">
                  <c:v>85640</c:v>
                </c:pt>
                <c:pt idx="898">
                  <c:v>101898</c:v>
                </c:pt>
                <c:pt idx="899">
                  <c:v>101354</c:v>
                </c:pt>
                <c:pt idx="900">
                  <c:v>89550</c:v>
                </c:pt>
                <c:pt idx="901">
                  <c:v>86872</c:v>
                </c:pt>
                <c:pt idx="902">
                  <c:v>100881</c:v>
                </c:pt>
                <c:pt idx="903">
                  <c:v>100881</c:v>
                </c:pt>
                <c:pt idx="904">
                  <c:v>100881</c:v>
                </c:pt>
                <c:pt idx="905">
                  <c:v>105856</c:v>
                </c:pt>
                <c:pt idx="906">
                  <c:v>102979</c:v>
                </c:pt>
                <c:pt idx="907">
                  <c:v>72417</c:v>
                </c:pt>
                <c:pt idx="908">
                  <c:v>82127</c:v>
                </c:pt>
                <c:pt idx="909">
                  <c:v>89957</c:v>
                </c:pt>
                <c:pt idx="910">
                  <c:v>89957</c:v>
                </c:pt>
                <c:pt idx="911">
                  <c:v>89957</c:v>
                </c:pt>
                <c:pt idx="912">
                  <c:v>101967</c:v>
                </c:pt>
                <c:pt idx="913">
                  <c:v>91609</c:v>
                </c:pt>
                <c:pt idx="914">
                  <c:v>95059</c:v>
                </c:pt>
                <c:pt idx="915">
                  <c:v>77865</c:v>
                </c:pt>
                <c:pt idx="916">
                  <c:v>82964</c:v>
                </c:pt>
                <c:pt idx="917">
                  <c:v>82964</c:v>
                </c:pt>
                <c:pt idx="918">
                  <c:v>82964</c:v>
                </c:pt>
                <c:pt idx="919">
                  <c:v>79727</c:v>
                </c:pt>
                <c:pt idx="920">
                  <c:v>83195</c:v>
                </c:pt>
                <c:pt idx="921">
                  <c:v>79828</c:v>
                </c:pt>
                <c:pt idx="922">
                  <c:v>90088</c:v>
                </c:pt>
                <c:pt idx="923">
                  <c:v>92180</c:v>
                </c:pt>
                <c:pt idx="924">
                  <c:v>92180</c:v>
                </c:pt>
                <c:pt idx="925">
                  <c:v>92180</c:v>
                </c:pt>
                <c:pt idx="926">
                  <c:v>98503</c:v>
                </c:pt>
                <c:pt idx="927">
                  <c:v>100158</c:v>
                </c:pt>
                <c:pt idx="928">
                  <c:v>104748</c:v>
                </c:pt>
                <c:pt idx="929">
                  <c:v>103690</c:v>
                </c:pt>
                <c:pt idx="930">
                  <c:v>103862</c:v>
                </c:pt>
                <c:pt idx="931">
                  <c:v>103862</c:v>
                </c:pt>
                <c:pt idx="932">
                  <c:v>103862</c:v>
                </c:pt>
                <c:pt idx="933">
                  <c:v>101463</c:v>
                </c:pt>
                <c:pt idx="934">
                  <c:v>109964</c:v>
                </c:pt>
                <c:pt idx="935">
                  <c:v>84850</c:v>
                </c:pt>
                <c:pt idx="936">
                  <c:v>86404</c:v>
                </c:pt>
                <c:pt idx="937">
                  <c:v>94619</c:v>
                </c:pt>
                <c:pt idx="938">
                  <c:v>83407</c:v>
                </c:pt>
                <c:pt idx="939">
                  <c:v>84881</c:v>
                </c:pt>
                <c:pt idx="940">
                  <c:v>83893</c:v>
                </c:pt>
                <c:pt idx="941">
                  <c:v>82864</c:v>
                </c:pt>
                <c:pt idx="942">
                  <c:v>76431</c:v>
                </c:pt>
                <c:pt idx="943">
                  <c:v>78308</c:v>
                </c:pt>
                <c:pt idx="944">
                  <c:v>76431</c:v>
                </c:pt>
                <c:pt idx="945">
                  <c:v>76431</c:v>
                </c:pt>
                <c:pt idx="946">
                  <c:v>76431</c:v>
                </c:pt>
                <c:pt idx="947">
                  <c:v>78308</c:v>
                </c:pt>
                <c:pt idx="948">
                  <c:v>75946</c:v>
                </c:pt>
                <c:pt idx="949">
                  <c:v>74375</c:v>
                </c:pt>
                <c:pt idx="950">
                  <c:v>76438</c:v>
                </c:pt>
                <c:pt idx="951">
                  <c:v>79242</c:v>
                </c:pt>
                <c:pt idx="952">
                  <c:v>79242</c:v>
                </c:pt>
                <c:pt idx="953">
                  <c:v>79242</c:v>
                </c:pt>
                <c:pt idx="954">
                  <c:v>77868</c:v>
                </c:pt>
                <c:pt idx="955">
                  <c:v>79734</c:v>
                </c:pt>
                <c:pt idx="956">
                  <c:v>82647</c:v>
                </c:pt>
                <c:pt idx="957">
                  <c:v>78494</c:v>
                </c:pt>
                <c:pt idx="958">
                  <c:v>87348</c:v>
                </c:pt>
                <c:pt idx="959">
                  <c:v>87348</c:v>
                </c:pt>
                <c:pt idx="960">
                  <c:v>87348</c:v>
                </c:pt>
                <c:pt idx="961">
                  <c:v>85430</c:v>
                </c:pt>
                <c:pt idx="962">
                  <c:v>84904</c:v>
                </c:pt>
                <c:pt idx="963">
                  <c:v>68612</c:v>
                </c:pt>
                <c:pt idx="964">
                  <c:v>70146</c:v>
                </c:pt>
                <c:pt idx="965">
                  <c:v>76997</c:v>
                </c:pt>
                <c:pt idx="966">
                  <c:v>76997</c:v>
                </c:pt>
                <c:pt idx="967">
                  <c:v>76997</c:v>
                </c:pt>
                <c:pt idx="968">
                  <c:v>77846</c:v>
                </c:pt>
                <c:pt idx="969">
                  <c:v>81779</c:v>
                </c:pt>
                <c:pt idx="970">
                  <c:v>83057</c:v>
                </c:pt>
                <c:pt idx="971">
                  <c:v>81111</c:v>
                </c:pt>
                <c:pt idx="972">
                  <c:v>81202</c:v>
                </c:pt>
                <c:pt idx="973">
                  <c:v>81202</c:v>
                </c:pt>
                <c:pt idx="974">
                  <c:v>81202</c:v>
                </c:pt>
                <c:pt idx="975">
                  <c:v>82159</c:v>
                </c:pt>
                <c:pt idx="976">
                  <c:v>87432</c:v>
                </c:pt>
                <c:pt idx="977">
                  <c:v>83553</c:v>
                </c:pt>
                <c:pt idx="978">
                  <c:v>86477</c:v>
                </c:pt>
                <c:pt idx="979">
                  <c:v>87224</c:v>
                </c:pt>
                <c:pt idx="980">
                  <c:v>87224</c:v>
                </c:pt>
                <c:pt idx="981">
                  <c:v>87224</c:v>
                </c:pt>
                <c:pt idx="982">
                  <c:v>82731</c:v>
                </c:pt>
                <c:pt idx="983">
                  <c:v>80358</c:v>
                </c:pt>
                <c:pt idx="984">
                  <c:v>63846</c:v>
                </c:pt>
                <c:pt idx="985">
                  <c:v>66410</c:v>
                </c:pt>
                <c:pt idx="986">
                  <c:v>70569</c:v>
                </c:pt>
                <c:pt idx="987">
                  <c:v>70569</c:v>
                </c:pt>
                <c:pt idx="988">
                  <c:v>70569</c:v>
                </c:pt>
                <c:pt idx="989">
                  <c:v>80526</c:v>
                </c:pt>
                <c:pt idx="990">
                  <c:v>86536</c:v>
                </c:pt>
                <c:pt idx="991">
                  <c:v>86055</c:v>
                </c:pt>
                <c:pt idx="992">
                  <c:v>78182</c:v>
                </c:pt>
                <c:pt idx="993">
                  <c:v>79934</c:v>
                </c:pt>
                <c:pt idx="994">
                  <c:v>79934</c:v>
                </c:pt>
                <c:pt idx="995">
                  <c:v>79934</c:v>
                </c:pt>
                <c:pt idx="996">
                  <c:v>71223</c:v>
                </c:pt>
                <c:pt idx="997">
                  <c:v>86028</c:v>
                </c:pt>
                <c:pt idx="998">
                  <c:v>68560</c:v>
                </c:pt>
                <c:pt idx="999">
                  <c:v>59152</c:v>
                </c:pt>
                <c:pt idx="1000">
                  <c:v>71425</c:v>
                </c:pt>
                <c:pt idx="1001">
                  <c:v>71425</c:v>
                </c:pt>
                <c:pt idx="1002">
                  <c:v>71425</c:v>
                </c:pt>
                <c:pt idx="1003">
                  <c:v>69358</c:v>
                </c:pt>
                <c:pt idx="1004">
                  <c:v>66467</c:v>
                </c:pt>
                <c:pt idx="1005">
                  <c:v>58754</c:v>
                </c:pt>
                <c:pt idx="1006">
                  <c:v>55384</c:v>
                </c:pt>
                <c:pt idx="1007">
                  <c:v>50060</c:v>
                </c:pt>
                <c:pt idx="1008">
                  <c:v>50060</c:v>
                </c:pt>
                <c:pt idx="1009">
                  <c:v>50060</c:v>
                </c:pt>
                <c:pt idx="1010">
                  <c:v>49492</c:v>
                </c:pt>
                <c:pt idx="1011">
                  <c:v>48855</c:v>
                </c:pt>
                <c:pt idx="1012">
                  <c:v>61330</c:v>
                </c:pt>
                <c:pt idx="1013">
                  <c:v>51499</c:v>
                </c:pt>
                <c:pt idx="1014">
                  <c:v>52870</c:v>
                </c:pt>
                <c:pt idx="1015">
                  <c:v>66856</c:v>
                </c:pt>
                <c:pt idx="1016">
                  <c:v>52679</c:v>
                </c:pt>
                <c:pt idx="1017">
                  <c:v>66856</c:v>
                </c:pt>
                <c:pt idx="1018">
                  <c:v>52679</c:v>
                </c:pt>
                <c:pt idx="1019">
                  <c:v>55741</c:v>
                </c:pt>
                <c:pt idx="1020">
                  <c:v>57218</c:v>
                </c:pt>
                <c:pt idx="1021">
                  <c:v>55336</c:v>
                </c:pt>
                <c:pt idx="1022">
                  <c:v>55336</c:v>
                </c:pt>
                <c:pt idx="1023">
                  <c:v>55336</c:v>
                </c:pt>
                <c:pt idx="1024">
                  <c:v>65582</c:v>
                </c:pt>
                <c:pt idx="1025">
                  <c:v>72318</c:v>
                </c:pt>
                <c:pt idx="1026">
                  <c:v>46158</c:v>
                </c:pt>
                <c:pt idx="1027">
                  <c:v>42088</c:v>
                </c:pt>
                <c:pt idx="1028">
                  <c:v>52553</c:v>
                </c:pt>
                <c:pt idx="1029">
                  <c:v>52553</c:v>
                </c:pt>
                <c:pt idx="1030">
                  <c:v>52553</c:v>
                </c:pt>
                <c:pt idx="1031">
                  <c:v>59353</c:v>
                </c:pt>
                <c:pt idx="1032">
                  <c:v>48269</c:v>
                </c:pt>
                <c:pt idx="1033">
                  <c:v>46818</c:v>
                </c:pt>
                <c:pt idx="1034">
                  <c:v>44750</c:v>
                </c:pt>
                <c:pt idx="1035">
                  <c:v>45667</c:v>
                </c:pt>
                <c:pt idx="1036">
                  <c:v>45667</c:v>
                </c:pt>
                <c:pt idx="1037">
                  <c:v>45667</c:v>
                </c:pt>
                <c:pt idx="1038">
                  <c:v>49880</c:v>
                </c:pt>
                <c:pt idx="1039">
                  <c:v>48828</c:v>
                </c:pt>
                <c:pt idx="1040">
                  <c:v>50165</c:v>
                </c:pt>
                <c:pt idx="1041">
                  <c:v>53232</c:v>
                </c:pt>
                <c:pt idx="1042">
                  <c:v>51336</c:v>
                </c:pt>
                <c:pt idx="1043">
                  <c:v>51336</c:v>
                </c:pt>
                <c:pt idx="1044">
                  <c:v>51336</c:v>
                </c:pt>
                <c:pt idx="1045">
                  <c:v>56708</c:v>
                </c:pt>
                <c:pt idx="1046">
                  <c:v>50530</c:v>
                </c:pt>
                <c:pt idx="1047">
                  <c:v>45135</c:v>
                </c:pt>
                <c:pt idx="1048">
                  <c:v>54141</c:v>
                </c:pt>
                <c:pt idx="1049">
                  <c:v>52127</c:v>
                </c:pt>
                <c:pt idx="1050">
                  <c:v>52127</c:v>
                </c:pt>
                <c:pt idx="1051">
                  <c:v>52127</c:v>
                </c:pt>
                <c:pt idx="1052">
                  <c:v>55539</c:v>
                </c:pt>
                <c:pt idx="1053">
                  <c:v>57848</c:v>
                </c:pt>
                <c:pt idx="1054">
                  <c:v>49538</c:v>
                </c:pt>
                <c:pt idx="1055">
                  <c:v>54659</c:v>
                </c:pt>
                <c:pt idx="1056">
                  <c:v>62442</c:v>
                </c:pt>
                <c:pt idx="1057">
                  <c:v>62442</c:v>
                </c:pt>
                <c:pt idx="1058">
                  <c:v>62442</c:v>
                </c:pt>
                <c:pt idx="1059">
                  <c:v>60176</c:v>
                </c:pt>
                <c:pt idx="1060">
                  <c:v>57525</c:v>
                </c:pt>
                <c:pt idx="1061">
                  <c:v>45432</c:v>
                </c:pt>
                <c:pt idx="1062">
                  <c:v>46440</c:v>
                </c:pt>
                <c:pt idx="1063">
                  <c:v>43861</c:v>
                </c:pt>
                <c:pt idx="1064">
                  <c:v>43861</c:v>
                </c:pt>
                <c:pt idx="1065">
                  <c:v>43861</c:v>
                </c:pt>
                <c:pt idx="1066">
                  <c:v>48698</c:v>
                </c:pt>
                <c:pt idx="1067">
                  <c:v>46041</c:v>
                </c:pt>
                <c:pt idx="1068">
                  <c:v>52652</c:v>
                </c:pt>
                <c:pt idx="1069">
                  <c:v>48158</c:v>
                </c:pt>
                <c:pt idx="1070">
                  <c:v>44039</c:v>
                </c:pt>
                <c:pt idx="1071">
                  <c:v>44039</c:v>
                </c:pt>
                <c:pt idx="1072">
                  <c:v>44039</c:v>
                </c:pt>
                <c:pt idx="1073">
                  <c:v>38027</c:v>
                </c:pt>
                <c:pt idx="1074">
                  <c:v>44022</c:v>
                </c:pt>
                <c:pt idx="1075">
                  <c:v>40511</c:v>
                </c:pt>
                <c:pt idx="1076">
                  <c:v>40844</c:v>
                </c:pt>
                <c:pt idx="1077">
                  <c:v>56147</c:v>
                </c:pt>
                <c:pt idx="1078">
                  <c:v>56147</c:v>
                </c:pt>
                <c:pt idx="1079">
                  <c:v>56147</c:v>
                </c:pt>
                <c:pt idx="1080">
                  <c:v>55675</c:v>
                </c:pt>
                <c:pt idx="1081">
                  <c:v>56076</c:v>
                </c:pt>
                <c:pt idx="1082">
                  <c:v>48134</c:v>
                </c:pt>
                <c:pt idx="1083">
                  <c:v>41292</c:v>
                </c:pt>
                <c:pt idx="1084">
                  <c:v>54069</c:v>
                </c:pt>
                <c:pt idx="1085">
                  <c:v>54069</c:v>
                </c:pt>
                <c:pt idx="1086">
                  <c:v>54069</c:v>
                </c:pt>
                <c:pt idx="1087">
                  <c:v>52207</c:v>
                </c:pt>
                <c:pt idx="1088">
                  <c:v>54375</c:v>
                </c:pt>
                <c:pt idx="1089">
                  <c:v>36897</c:v>
                </c:pt>
                <c:pt idx="1090">
                  <c:v>36971</c:v>
                </c:pt>
                <c:pt idx="1091">
                  <c:v>38341</c:v>
                </c:pt>
                <c:pt idx="1092">
                  <c:v>38341</c:v>
                </c:pt>
                <c:pt idx="1093">
                  <c:v>38341</c:v>
                </c:pt>
                <c:pt idx="1094">
                  <c:v>45841</c:v>
                </c:pt>
                <c:pt idx="1095">
                  <c:v>43276</c:v>
                </c:pt>
                <c:pt idx="1096">
                  <c:v>43991</c:v>
                </c:pt>
                <c:pt idx="1097">
                  <c:v>43761</c:v>
                </c:pt>
                <c:pt idx="1098">
                  <c:v>53345</c:v>
                </c:pt>
                <c:pt idx="1099">
                  <c:v>53345</c:v>
                </c:pt>
                <c:pt idx="1100">
                  <c:v>53345</c:v>
                </c:pt>
                <c:pt idx="1101">
                  <c:v>50604</c:v>
                </c:pt>
                <c:pt idx="1102">
                  <c:v>54445</c:v>
                </c:pt>
                <c:pt idx="1103">
                  <c:v>54445</c:v>
                </c:pt>
                <c:pt idx="1104">
                  <c:v>54445</c:v>
                </c:pt>
                <c:pt idx="1105">
                  <c:v>59628</c:v>
                </c:pt>
                <c:pt idx="1106">
                  <c:v>59628</c:v>
                </c:pt>
                <c:pt idx="1107">
                  <c:v>59628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8-4EE6-9E22-503C563E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97952"/>
        <c:axId val="714473472"/>
      </c:lineChart>
      <c:dateAx>
        <c:axId val="714386432"/>
        <c:scaling>
          <c:orientation val="minMax"/>
          <c:max val="41637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96416"/>
        <c:crosses val="autoZero"/>
        <c:auto val="1"/>
        <c:lblOffset val="100"/>
        <c:baseTimeUnit val="days"/>
        <c:majorUnit val="50"/>
        <c:majorTimeUnit val="days"/>
        <c:minorUnit val="25"/>
        <c:minorTimeUnit val="days"/>
      </c:dateAx>
      <c:valAx>
        <c:axId val="714396416"/>
        <c:scaling>
          <c:orientation val="minMax"/>
          <c:max val="30000"/>
        </c:scaling>
        <c:delete val="0"/>
        <c:axPos val="l"/>
        <c:numFmt formatCode="#,##0_ ;[Red]\-#,##0\ 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86432"/>
        <c:crosses val="autoZero"/>
        <c:crossBetween val="midCat"/>
        <c:minorUnit val="1000"/>
      </c:valAx>
      <c:dateAx>
        <c:axId val="714397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4473472"/>
        <c:crosses val="autoZero"/>
        <c:auto val="0"/>
        <c:lblOffset val="100"/>
        <c:baseTimeUnit val="days"/>
      </c:dateAx>
      <c:valAx>
        <c:axId val="714473472"/>
        <c:scaling>
          <c:orientation val="minMax"/>
        </c:scaling>
        <c:delete val="0"/>
        <c:axPos val="r"/>
        <c:numFmt formatCode="#,##0_ ;[Red]\-#,##0\ 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97952"/>
        <c:crosses val="max"/>
        <c:crossBetween val="midCat"/>
        <c:minorUnit val="25000"/>
      </c:valAx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8125571564113"/>
          <c:y val="0.94886363636363646"/>
          <c:w val="0.67458076443915549"/>
          <c:h val="3.6931818181818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89408057517162E-2"/>
          <c:y val="0.13572500077806479"/>
          <c:w val="0.86092367393903846"/>
          <c:h val="0.689496125237309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'Exceed Reserves'!$A$207:$A$236</c:f>
              <c:strCache>
                <c:ptCount val="30"/>
                <c:pt idx="0">
                  <c:v>29/01/20 - 17/03/20</c:v>
                </c:pt>
                <c:pt idx="1">
                  <c:v>18/03/20 - 05/05/20</c:v>
                </c:pt>
                <c:pt idx="2">
                  <c:v>06/05/20 - 09/06/20</c:v>
                </c:pt>
                <c:pt idx="3">
                  <c:v>10/06/20 - 21/07/20</c:v>
                </c:pt>
                <c:pt idx="4">
                  <c:v>22/07/20 - 15/09/20</c:v>
                </c:pt>
                <c:pt idx="5">
                  <c:v>16/09/20 - 03/11/20</c:v>
                </c:pt>
                <c:pt idx="6">
                  <c:v>04/11/20 - 15/12/20</c:v>
                </c:pt>
                <c:pt idx="7">
                  <c:v>16/12/20 - 26/01/21</c:v>
                </c:pt>
                <c:pt idx="8">
                  <c:v>27/01/21 - 16/03/21</c:v>
                </c:pt>
                <c:pt idx="9">
                  <c:v>17/03/21 - 27/04/21</c:v>
                </c:pt>
                <c:pt idx="10">
                  <c:v>28/04/21 - 15/06/21</c:v>
                </c:pt>
                <c:pt idx="11">
                  <c:v>16/06/21 - 27/07/21</c:v>
                </c:pt>
                <c:pt idx="12">
                  <c:v>28/07/21 - 14/09/21</c:v>
                </c:pt>
                <c:pt idx="13">
                  <c:v>15/09/21 - 02/11/21</c:v>
                </c:pt>
                <c:pt idx="14">
                  <c:v>03/11/21 - 21/12/21</c:v>
                </c:pt>
                <c:pt idx="15">
                  <c:v>22/12/21 - 08/02/22</c:v>
                </c:pt>
                <c:pt idx="16">
                  <c:v>09/02/22 - 15/03/22</c:v>
                </c:pt>
                <c:pt idx="17">
                  <c:v>16/03/22 - 19/04/22</c:v>
                </c:pt>
                <c:pt idx="18">
                  <c:v>20/04/22 - 14/06/22</c:v>
                </c:pt>
                <c:pt idx="19">
                  <c:v>15/06/22 - 26/07/22</c:v>
                </c:pt>
                <c:pt idx="20">
                  <c:v>27/07/22 -13/09/22</c:v>
                </c:pt>
                <c:pt idx="21">
                  <c:v>14/09/22 -01/11/22</c:v>
                </c:pt>
                <c:pt idx="22">
                  <c:v>02/11/22 -20/12/22</c:v>
                </c:pt>
                <c:pt idx="23">
                  <c:v>21/12/22 -07/02/23</c:v>
                </c:pt>
                <c:pt idx="24">
                  <c:v>08/02/23 - 21/03/23</c:v>
                </c:pt>
                <c:pt idx="25">
                  <c:v>22/03/23 - 09/05/23</c:v>
                </c:pt>
                <c:pt idx="26">
                  <c:v>10/05/23 - 20/06/23</c:v>
                </c:pt>
                <c:pt idx="27">
                  <c:v>21/06/23-01/08/23</c:v>
                </c:pt>
                <c:pt idx="28">
                  <c:v>02/08/23-19/09/23</c:v>
                </c:pt>
                <c:pt idx="29">
                  <c:v>20/09/23 - 31/10/23</c:v>
                </c:pt>
              </c:strCache>
            </c:strRef>
          </c:cat>
          <c:val>
            <c:numRef>
              <c:f>'Exceed Reserves'!$D$207:$D$236</c:f>
              <c:numCache>
                <c:formatCode>#,##0</c:formatCode>
                <c:ptCount val="30"/>
                <c:pt idx="0">
                  <c:v>1506696</c:v>
                </c:pt>
                <c:pt idx="1">
                  <c:v>1684495</c:v>
                </c:pt>
                <c:pt idx="2">
                  <c:v>1827132</c:v>
                </c:pt>
                <c:pt idx="3">
                  <c:v>2204692</c:v>
                </c:pt>
                <c:pt idx="4">
                  <c:v>2483296</c:v>
                </c:pt>
                <c:pt idx="5">
                  <c:v>2653451</c:v>
                </c:pt>
                <c:pt idx="6">
                  <c:v>2816718</c:v>
                </c:pt>
                <c:pt idx="7">
                  <c:v>2921576</c:v>
                </c:pt>
                <c:pt idx="8">
                  <c:v>3011243</c:v>
                </c:pt>
                <c:pt idx="9">
                  <c:v>3273616</c:v>
                </c:pt>
                <c:pt idx="10">
                  <c:v>3443927</c:v>
                </c:pt>
                <c:pt idx="11">
                  <c:v>3502904</c:v>
                </c:pt>
                <c:pt idx="12">
                  <c:v>3575256</c:v>
                </c:pt>
                <c:pt idx="13">
                  <c:v>3653659</c:v>
                </c:pt>
                <c:pt idx="14">
                  <c:v>3689080</c:v>
                </c:pt>
                <c:pt idx="15">
                  <c:v>3656920</c:v>
                </c:pt>
                <c:pt idx="16">
                  <c:v>3678326</c:v>
                </c:pt>
                <c:pt idx="17">
                  <c:v>3770520</c:v>
                </c:pt>
                <c:pt idx="18">
                  <c:v>3888321</c:v>
                </c:pt>
                <c:pt idx="19">
                  <c:v>3782461</c:v>
                </c:pt>
                <c:pt idx="20">
                  <c:v>3774525</c:v>
                </c:pt>
                <c:pt idx="21">
                  <c:v>167571</c:v>
                </c:pt>
                <c:pt idx="22">
                  <c:v>46584</c:v>
                </c:pt>
                <c:pt idx="23">
                  <c:v>27683</c:v>
                </c:pt>
                <c:pt idx="24">
                  <c:v>26430</c:v>
                </c:pt>
                <c:pt idx="25">
                  <c:v>16970</c:v>
                </c:pt>
                <c:pt idx="26">
                  <c:v>16812</c:v>
                </c:pt>
                <c:pt idx="27">
                  <c:v>12286</c:v>
                </c:pt>
                <c:pt idx="28">
                  <c:v>9026</c:v>
                </c:pt>
                <c:pt idx="29">
                  <c:v>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4-4B65-98E7-CA21B69A3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714062848"/>
        <c:axId val="714064640"/>
      </c:barChart>
      <c:catAx>
        <c:axId val="7140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064640"/>
        <c:crosses val="autoZero"/>
        <c:auto val="1"/>
        <c:lblAlgn val="ctr"/>
        <c:lblOffset val="100"/>
        <c:noMultiLvlLbl val="0"/>
      </c:catAx>
      <c:valAx>
        <c:axId val="714064640"/>
        <c:scaling>
          <c:orientation val="minMax"/>
          <c:max val="4000000"/>
          <c:min val="2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062848"/>
        <c:crosses val="autoZero"/>
        <c:crossBetween val="between"/>
        <c:majorUnit val="200000"/>
        <c:minorUnit val="40000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2174103237097"/>
          <c:y val="0.11891850475212337"/>
          <c:w val="0.82456714785651797"/>
          <c:h val="0.67856790178455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'Exceed Reserves'!$A$205:$A$236</c:f>
              <c:strCache>
                <c:ptCount val="32"/>
                <c:pt idx="0">
                  <c:v>30/10/19 - 17/12/19</c:v>
                </c:pt>
                <c:pt idx="1">
                  <c:v>18/12/19 - 28/01/20</c:v>
                </c:pt>
                <c:pt idx="2">
                  <c:v>29/01/20 - 17/03/20</c:v>
                </c:pt>
                <c:pt idx="3">
                  <c:v>18/03/20 - 05/05/20</c:v>
                </c:pt>
                <c:pt idx="4">
                  <c:v>06/05/20 - 09/06/20</c:v>
                </c:pt>
                <c:pt idx="5">
                  <c:v>10/06/20 - 21/07/20</c:v>
                </c:pt>
                <c:pt idx="6">
                  <c:v>22/07/20 - 15/09/20</c:v>
                </c:pt>
                <c:pt idx="7">
                  <c:v>16/09/20 - 03/11/20</c:v>
                </c:pt>
                <c:pt idx="8">
                  <c:v>04/11/20 - 15/12/20</c:v>
                </c:pt>
                <c:pt idx="9">
                  <c:v>16/12/20 - 26/01/21</c:v>
                </c:pt>
                <c:pt idx="10">
                  <c:v>27/01/21 - 16/03/21</c:v>
                </c:pt>
                <c:pt idx="11">
                  <c:v>17/03/21 - 27/04/21</c:v>
                </c:pt>
                <c:pt idx="12">
                  <c:v>28/04/21 - 15/06/21</c:v>
                </c:pt>
                <c:pt idx="13">
                  <c:v>16/06/21 - 27/07/21</c:v>
                </c:pt>
                <c:pt idx="14">
                  <c:v>28/07/21 - 14/09/21</c:v>
                </c:pt>
                <c:pt idx="15">
                  <c:v>15/09/21 - 02/11/21</c:v>
                </c:pt>
                <c:pt idx="16">
                  <c:v>03/11/21 - 21/12/21</c:v>
                </c:pt>
                <c:pt idx="17">
                  <c:v>22/12/21 - 08/02/22</c:v>
                </c:pt>
                <c:pt idx="18">
                  <c:v>09/02/22 - 15/03/22</c:v>
                </c:pt>
                <c:pt idx="19">
                  <c:v>16/03/22 - 19/04/22</c:v>
                </c:pt>
                <c:pt idx="20">
                  <c:v>20/04/22 - 14/06/22</c:v>
                </c:pt>
                <c:pt idx="21">
                  <c:v>15/06/22 - 26/07/22</c:v>
                </c:pt>
                <c:pt idx="22">
                  <c:v>27/07/22 -13/09/22</c:v>
                </c:pt>
                <c:pt idx="23">
                  <c:v>14/09/22 -01/11/22</c:v>
                </c:pt>
                <c:pt idx="24">
                  <c:v>02/11/22 -20/12/22</c:v>
                </c:pt>
                <c:pt idx="25">
                  <c:v>21/12/22 -07/02/23</c:v>
                </c:pt>
                <c:pt idx="26">
                  <c:v>08/02/23 - 21/03/23</c:v>
                </c:pt>
                <c:pt idx="27">
                  <c:v>22/03/23 - 09/05/23</c:v>
                </c:pt>
                <c:pt idx="28">
                  <c:v>10/05/23 - 20/06/23</c:v>
                </c:pt>
                <c:pt idx="29">
                  <c:v>21/06/23-01/08/23</c:v>
                </c:pt>
                <c:pt idx="30">
                  <c:v>02/08/23-19/09/23</c:v>
                </c:pt>
                <c:pt idx="31">
                  <c:v>20/09/23 - 31/10/23</c:v>
                </c:pt>
              </c:strCache>
            </c:strRef>
          </c:cat>
          <c:val>
            <c:numRef>
              <c:f>'Exceed Reserves'!$E$205:$E$236</c:f>
              <c:numCache>
                <c:formatCode>_(* #,##0_);_(* \(#,##0\);_(* "-"??_);_(@_)</c:formatCode>
                <c:ptCount val="32"/>
                <c:pt idx="0">
                  <c:v>111519</c:v>
                </c:pt>
                <c:pt idx="1">
                  <c:v>107096</c:v>
                </c:pt>
                <c:pt idx="2">
                  <c:v>111849</c:v>
                </c:pt>
                <c:pt idx="3">
                  <c:v>112383</c:v>
                </c:pt>
                <c:pt idx="4">
                  <c:v>117015</c:v>
                </c:pt>
                <c:pt idx="5">
                  <c:v>133761</c:v>
                </c:pt>
                <c:pt idx="6">
                  <c:v>165985</c:v>
                </c:pt>
                <c:pt idx="7">
                  <c:v>186720</c:v>
                </c:pt>
                <c:pt idx="8">
                  <c:v>224630</c:v>
                </c:pt>
                <c:pt idx="9">
                  <c:v>238830</c:v>
                </c:pt>
                <c:pt idx="10">
                  <c:v>245650</c:v>
                </c:pt>
                <c:pt idx="11">
                  <c:v>277315</c:v>
                </c:pt>
                <c:pt idx="12">
                  <c:v>302889</c:v>
                </c:pt>
                <c:pt idx="13">
                  <c:v>300413</c:v>
                </c:pt>
                <c:pt idx="14">
                  <c:v>311358</c:v>
                </c:pt>
                <c:pt idx="15">
                  <c:v>308319</c:v>
                </c:pt>
                <c:pt idx="16">
                  <c:v>311303</c:v>
                </c:pt>
                <c:pt idx="17">
                  <c:v>308385</c:v>
                </c:pt>
                <c:pt idx="18">
                  <c:v>309294</c:v>
                </c:pt>
                <c:pt idx="19">
                  <c:v>297987</c:v>
                </c:pt>
                <c:pt idx="20">
                  <c:v>300604</c:v>
                </c:pt>
                <c:pt idx="21">
                  <c:v>269112</c:v>
                </c:pt>
                <c:pt idx="22">
                  <c:v>295881</c:v>
                </c:pt>
                <c:pt idx="23">
                  <c:v>5567</c:v>
                </c:pt>
                <c:pt idx="24">
                  <c:v>2033</c:v>
                </c:pt>
                <c:pt idx="25">
                  <c:v>1817</c:v>
                </c:pt>
                <c:pt idx="26">
                  <c:v>1406</c:v>
                </c:pt>
                <c:pt idx="27">
                  <c:v>1015</c:v>
                </c:pt>
                <c:pt idx="28">
                  <c:v>817</c:v>
                </c:pt>
                <c:pt idx="29">
                  <c:v>646</c:v>
                </c:pt>
                <c:pt idx="30">
                  <c:v>498</c:v>
                </c:pt>
                <c:pt idx="31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B-4C65-8DA9-E0C4520E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14230016"/>
        <c:axId val="714244096"/>
      </c:barChart>
      <c:catAx>
        <c:axId val="7142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244096"/>
        <c:crosses val="autoZero"/>
        <c:auto val="1"/>
        <c:lblAlgn val="ctr"/>
        <c:lblOffset val="100"/>
        <c:noMultiLvlLbl val="0"/>
      </c:catAx>
      <c:valAx>
        <c:axId val="71424409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230016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1091</xdr:row>
      <xdr:rowOff>7620</xdr:rowOff>
    </xdr:from>
    <xdr:to>
      <xdr:col>19</xdr:col>
      <xdr:colOff>83820</xdr:colOff>
      <xdr:row>1123</xdr:row>
      <xdr:rowOff>7620</xdr:rowOff>
    </xdr:to>
    <xdr:graphicFrame macro="">
      <xdr:nvGraphicFramePr>
        <xdr:cNvPr id="7038382" name="Chart 1">
          <a:extLst>
            <a:ext uri="{FF2B5EF4-FFF2-40B4-BE49-F238E27FC236}">
              <a16:creationId xmlns:a16="http://schemas.microsoft.com/office/drawing/2014/main" id="{00000000-0008-0000-0E00-0000AE656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0.49261</cdr:x>
      <cdr:y>0.52462</cdr:y>
    </cdr:from>
    <cdr:to>
      <cdr:x>0.49512</cdr:x>
      <cdr:y>0.56386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4662" y="2704477"/>
          <a:ext cx="62394" cy="203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198</xdr:row>
      <xdr:rowOff>19050</xdr:rowOff>
    </xdr:from>
    <xdr:to>
      <xdr:col>16</xdr:col>
      <xdr:colOff>447675</xdr:colOff>
      <xdr:row>238</xdr:row>
      <xdr:rowOff>142875</xdr:rowOff>
    </xdr:to>
    <xdr:graphicFrame macro="">
      <xdr:nvGraphicFramePr>
        <xdr:cNvPr id="8925525" name="Chart 1">
          <a:extLst>
            <a:ext uri="{FF2B5EF4-FFF2-40B4-BE49-F238E27FC236}">
              <a16:creationId xmlns:a16="http://schemas.microsoft.com/office/drawing/2014/main" id="{00000000-0008-0000-0D00-000055318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9526</xdr:colOff>
      <xdr:row>198</xdr:row>
      <xdr:rowOff>28575</xdr:rowOff>
    </xdr:from>
    <xdr:to>
      <xdr:col>27</xdr:col>
      <xdr:colOff>542926</xdr:colOff>
      <xdr:row>239</xdr:row>
      <xdr:rowOff>19050</xdr:rowOff>
    </xdr:to>
    <xdr:graphicFrame macro="">
      <xdr:nvGraphicFramePr>
        <xdr:cNvPr id="8925526" name="Chart 2">
          <a:extLst>
            <a:ext uri="{FF2B5EF4-FFF2-40B4-BE49-F238E27FC236}">
              <a16:creationId xmlns:a16="http://schemas.microsoft.com/office/drawing/2014/main" id="{00000000-0008-0000-0D00-000056318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0.08095</cdr:x>
      <cdr:y>0.00838</cdr:y>
    </cdr:from>
    <cdr:to>
      <cdr:x>0.93508</cdr:x>
      <cdr:y>0.10563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963" y="19051"/>
          <a:ext cx="3829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Eurosystem</a:t>
          </a:r>
          <a:r>
            <a:rPr lang="en-US" sz="1400" b="1" baseline="0"/>
            <a:t> Excess reserves</a:t>
          </a:r>
          <a:endParaRPr lang="en-US" sz="1400" b="1"/>
        </a:p>
      </cdr:txBody>
    </cdr:sp>
  </cdr:relSizeAnchor>
  <cdr:relSizeAnchor xmlns:cdr="http://schemas.openxmlformats.org/drawingml/2006/chartDrawing">
    <cdr:from>
      <cdr:x>0.00122</cdr:x>
      <cdr:y>0</cdr:y>
    </cdr:from>
    <cdr:to>
      <cdr:x>0.00122</cdr:x>
      <cdr:y>0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33351"/>
          <a:ext cx="652463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/>
            <a:t>mln/euro</a:t>
          </a:r>
        </a:p>
      </cdr:txBody>
    </cdr:sp>
  </cdr:relSizeAnchor>
  <cdr:relSizeAnchor xmlns:cdr="http://schemas.openxmlformats.org/drawingml/2006/chartDrawing">
    <cdr:from>
      <cdr:x>0.00122</cdr:x>
      <cdr:y>0</cdr:y>
    </cdr:from>
    <cdr:to>
      <cdr:x>0.00122</cdr:x>
      <cdr:y>0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39368"/>
          <a:ext cx="644530" cy="194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mln/euro</a:t>
          </a:r>
        </a:p>
      </cdr:txBody>
    </cdr:sp>
  </cdr:relSizeAnchor>
  <cdr:relSizeAnchor xmlns:cdr="http://schemas.openxmlformats.org/drawingml/2006/chartDrawing">
    <cdr:from>
      <cdr:x>0.00225</cdr:x>
      <cdr:y>0.0573</cdr:y>
    </cdr:from>
    <cdr:to>
      <cdr:x>0.13975</cdr:x>
      <cdr:y>0.1292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959" y="276183"/>
          <a:ext cx="914162" cy="34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bln/euro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0.13072</cdr:x>
      <cdr:y>0.00868</cdr:y>
    </cdr:from>
    <cdr:to>
      <cdr:x>0.96289</cdr:x>
      <cdr:y>0.10462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613" y="23813"/>
          <a:ext cx="37147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Italian</a:t>
          </a:r>
          <a:r>
            <a:rPr lang="en-US" sz="1400" b="1" baseline="0">
              <a:effectLst/>
              <a:latin typeface="+mn-lt"/>
              <a:ea typeface="+mn-ea"/>
              <a:cs typeface="+mn-cs"/>
            </a:rPr>
            <a:t> Banks Excess reserves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0.00828</cdr:x>
      <cdr:y>0.0382</cdr:y>
    </cdr:from>
    <cdr:to>
      <cdr:x>0.18003</cdr:x>
      <cdr:y>0.1006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871" y="172921"/>
          <a:ext cx="785241" cy="28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/>
            <a:t>Bln/euro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U65525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Q48" sqref="Q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4257812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126663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43362</v>
      </c>
      <c r="C7" s="14" t="str">
        <f t="shared" ref="C7:C48" si="0">IF(OR(WEEKDAY(B7)=1,WEEKDAY(B7)=7),"F","")</f>
        <v/>
      </c>
      <c r="D7" s="87">
        <f>-4224+4963</f>
        <v>739</v>
      </c>
      <c r="E7" s="128">
        <v>30</v>
      </c>
      <c r="F7" s="162">
        <v>-614441</v>
      </c>
      <c r="G7" s="26">
        <f>D7+E7+F7-G53-G54</f>
        <v>44564</v>
      </c>
      <c r="H7" s="132">
        <v>-5400</v>
      </c>
      <c r="I7" s="63">
        <v>-1100</v>
      </c>
      <c r="J7" s="63">
        <v>200</v>
      </c>
      <c r="K7" s="63">
        <f>SUM(H7:J7)</f>
        <v>-6300</v>
      </c>
      <c r="L7" s="150">
        <v>35</v>
      </c>
      <c r="M7" s="153"/>
      <c r="N7" s="149">
        <f>L7+K7+G7+M7</f>
        <v>38299</v>
      </c>
      <c r="O7" s="67">
        <f t="shared" ref="O7:O48" si="1">P7/T7</f>
        <v>1247537.1499999999</v>
      </c>
      <c r="P7" s="163">
        <f>(+$Q7-$Q$3)</f>
        <v>1247537.1499999999</v>
      </c>
      <c r="Q7" s="164">
        <f>G52+N7-1</f>
        <v>1374200.15</v>
      </c>
      <c r="R7" s="29">
        <f t="shared" ref="R7:R48" si="2">$S7/$Q$3*100</f>
        <v>1084.9262610233452</v>
      </c>
      <c r="S7" s="165">
        <f>$Q7</f>
        <v>1374200.15</v>
      </c>
      <c r="T7" s="166">
        <v>1</v>
      </c>
      <c r="U7" s="138">
        <f>B7</f>
        <v>43362</v>
      </c>
      <c r="V7" s="131" t="s">
        <v>228</v>
      </c>
      <c r="W7" s="105">
        <v>-1344600</v>
      </c>
      <c r="X7" s="167">
        <f>AVERAGE(W7:W13)</f>
        <v>-1254781.7142857143</v>
      </c>
      <c r="Y7" s="156">
        <v>-1244600</v>
      </c>
      <c r="Z7" s="167">
        <f>AVERAGE(Y7:Y13)</f>
        <v>-1240496</v>
      </c>
      <c r="AA7" s="92"/>
    </row>
    <row r="8" spans="2:255">
      <c r="B8" s="116">
        <v>43363</v>
      </c>
      <c r="C8" s="14"/>
      <c r="D8" s="128"/>
      <c r="E8" s="128">
        <v>30</v>
      </c>
      <c r="F8" s="162">
        <v>-619163</v>
      </c>
      <c r="G8" s="26">
        <f>D8+E8+F8-E7-F7</f>
        <v>-4722</v>
      </c>
      <c r="H8" s="132">
        <v>-11400</v>
      </c>
      <c r="I8" s="63">
        <v>400</v>
      </c>
      <c r="J8" s="63">
        <v>200</v>
      </c>
      <c r="K8" s="63">
        <f>SUM(H8:J8)</f>
        <v>-10800</v>
      </c>
      <c r="L8" s="150">
        <v>-44</v>
      </c>
      <c r="M8" s="153"/>
      <c r="N8" s="149">
        <f>L8+K8+G8+M8</f>
        <v>-15566</v>
      </c>
      <c r="O8" s="67">
        <f t="shared" si="1"/>
        <v>615985.57499999995</v>
      </c>
      <c r="P8" s="163">
        <f>(IF($Q8&lt;0,-$Q$3+P6,($Q8-$Q$3)+P6))</f>
        <v>1231971.1499999999</v>
      </c>
      <c r="Q8" s="164">
        <f>Q7+N8</f>
        <v>1358634.15</v>
      </c>
      <c r="R8" s="29">
        <f t="shared" si="2"/>
        <v>1078.7816094676425</v>
      </c>
      <c r="S8" s="165">
        <f>SUM($Q$7:$Q8)/T8</f>
        <v>1366417.15</v>
      </c>
      <c r="T8" s="166">
        <v>2</v>
      </c>
      <c r="U8" s="138">
        <f>B7+6</f>
        <v>43368</v>
      </c>
      <c r="V8" s="131">
        <v>1363.5</v>
      </c>
      <c r="W8" s="105">
        <v>-1233756</v>
      </c>
      <c r="X8" s="167"/>
      <c r="Y8" s="156">
        <f>Y7-K8-L8</f>
        <v>-1233756</v>
      </c>
      <c r="Z8" s="167"/>
      <c r="AA8" s="92"/>
    </row>
    <row r="9" spans="2:255">
      <c r="B9" s="116">
        <v>43364</v>
      </c>
      <c r="C9" s="14" t="str">
        <f t="shared" si="0"/>
        <v/>
      </c>
      <c r="D9" s="87"/>
      <c r="E9" s="87">
        <v>21</v>
      </c>
      <c r="F9" s="23">
        <v>-654462</v>
      </c>
      <c r="G9" s="26">
        <f>D9+E9+F9-E8-F8</f>
        <v>-35308</v>
      </c>
      <c r="H9" s="132">
        <v>2600</v>
      </c>
      <c r="I9" s="63">
        <v>7300</v>
      </c>
      <c r="J9" s="63">
        <v>200</v>
      </c>
      <c r="K9" s="63">
        <f>SUM(H9:J9)</f>
        <v>10100</v>
      </c>
      <c r="L9" s="150">
        <v>24</v>
      </c>
      <c r="M9" s="153"/>
      <c r="N9" s="149">
        <f>L9+K9+G9+M9</f>
        <v>-25184</v>
      </c>
      <c r="O9" s="67">
        <f t="shared" si="1"/>
        <v>818108.43333333323</v>
      </c>
      <c r="P9" s="7">
        <f>(IF($Q9&lt;0,-$Q$3+P7,($Q9-$Q$3)+P7))</f>
        <v>2454325.2999999998</v>
      </c>
      <c r="Q9" s="164">
        <f>Q8+N9+1</f>
        <v>1333451.1499999999</v>
      </c>
      <c r="R9" s="29">
        <f t="shared" si="2"/>
        <v>1070.1060951764391</v>
      </c>
      <c r="S9" s="5">
        <f>SUM($Q$7:$Q9)/T9</f>
        <v>1355428.4833333332</v>
      </c>
      <c r="T9" s="17">
        <v>3</v>
      </c>
      <c r="V9" s="131"/>
      <c r="W9" s="105">
        <v>-1243881</v>
      </c>
      <c r="X9" s="167"/>
      <c r="Y9" s="156">
        <f>Y8-K9-L9-1</f>
        <v>-1243881</v>
      </c>
      <c r="Z9" s="167"/>
      <c r="AA9" s="92"/>
    </row>
    <row r="10" spans="2:255">
      <c r="B10" s="116">
        <v>43365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915278.36249999993</v>
      </c>
      <c r="P10" s="7">
        <f t="shared" ref="P10:P48" si="3">(IF($Q10&lt;0,-$Q$3+P9,($Q10-$Q$3)+P9))</f>
        <v>3661113.4499999997</v>
      </c>
      <c r="Q10" s="164">
        <f t="shared" ref="Q10:Q46" si="4">Q9+N10</f>
        <v>1333451.1499999999</v>
      </c>
      <c r="R10" s="29">
        <f t="shared" si="2"/>
        <v>1065.7683380308376</v>
      </c>
      <c r="S10" s="5">
        <f>SUM($Q$7:$Q10)/T10</f>
        <v>1349934.15</v>
      </c>
      <c r="T10" s="17">
        <v>4</v>
      </c>
      <c r="U10" s="27"/>
      <c r="V10" s="133"/>
      <c r="W10" s="105">
        <v>-1243881</v>
      </c>
      <c r="X10" s="167"/>
      <c r="Y10" s="156">
        <f t="shared" ref="Y10:Y48" si="5">Y9-K10-L10</f>
        <v>-1243881</v>
      </c>
      <c r="Z10" s="167"/>
      <c r="AA10" s="92"/>
    </row>
    <row r="11" spans="2:255">
      <c r="B11" s="116">
        <v>43366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973580.32</v>
      </c>
      <c r="P11" s="7">
        <f t="shared" si="3"/>
        <v>4867901.5999999996</v>
      </c>
      <c r="Q11" s="164">
        <f t="shared" si="4"/>
        <v>1333451.1499999999</v>
      </c>
      <c r="R11" s="29">
        <f t="shared" si="2"/>
        <v>1063.1656837434768</v>
      </c>
      <c r="S11" s="5">
        <f>SUM($Q$7:$Q11)/T11</f>
        <v>1346637.55</v>
      </c>
      <c r="T11" s="17">
        <v>5</v>
      </c>
      <c r="U11" s="27"/>
      <c r="V11" s="134"/>
      <c r="W11" s="105">
        <v>-1243881</v>
      </c>
      <c r="X11" s="167"/>
      <c r="Y11" s="156">
        <f t="shared" si="5"/>
        <v>-1243881</v>
      </c>
      <c r="Z11" s="167"/>
    </row>
    <row r="12" spans="2:255">
      <c r="B12" s="116">
        <v>43367</v>
      </c>
      <c r="C12" s="14" t="str">
        <f t="shared" si="0"/>
        <v/>
      </c>
      <c r="D12" s="87"/>
      <c r="E12" s="161">
        <v>563</v>
      </c>
      <c r="F12" s="23">
        <v>-639252</v>
      </c>
      <c r="G12" s="26">
        <f>D12+E12+F12-E9-F9</f>
        <v>15752</v>
      </c>
      <c r="H12" s="132">
        <v>-2400</v>
      </c>
      <c r="I12" s="63">
        <v>-9100</v>
      </c>
      <c r="J12" s="63">
        <v>-600</v>
      </c>
      <c r="K12" s="63">
        <f>SUM(H12:J12)</f>
        <v>-12100</v>
      </c>
      <c r="L12" s="150">
        <v>-33</v>
      </c>
      <c r="M12" s="153"/>
      <c r="N12" s="149">
        <f t="shared" si="6"/>
        <v>3619</v>
      </c>
      <c r="O12" s="67">
        <f t="shared" si="1"/>
        <v>1013051.4583333334</v>
      </c>
      <c r="P12" s="7">
        <f t="shared" si="3"/>
        <v>6078308.75</v>
      </c>
      <c r="Q12" s="164">
        <f t="shared" si="4"/>
        <v>1337070.1499999999</v>
      </c>
      <c r="R12" s="29">
        <f t="shared" si="2"/>
        <v>1061.9067788804414</v>
      </c>
      <c r="S12" s="5">
        <f>SUM($Q$7:$Q12)/T12</f>
        <v>1345042.9833333334</v>
      </c>
      <c r="T12" s="17">
        <v>6</v>
      </c>
      <c r="U12" s="138">
        <f>B12</f>
        <v>43367</v>
      </c>
      <c r="V12" s="159" t="s">
        <v>229</v>
      </c>
      <c r="W12" s="105">
        <v>-1231748</v>
      </c>
      <c r="X12" s="167">
        <f>AVERAGE(W12:W20)</f>
        <v>-1238066.7777777778</v>
      </c>
      <c r="Y12" s="156">
        <f t="shared" si="5"/>
        <v>-1231748</v>
      </c>
      <c r="Z12" s="167">
        <f>AVERAGE(Y12:Y20)</f>
        <v>-1238066.7777777778</v>
      </c>
    </row>
    <row r="13" spans="2:255">
      <c r="B13" s="116">
        <v>43368</v>
      </c>
      <c r="C13" s="14" t="str">
        <f t="shared" si="0"/>
        <v/>
      </c>
      <c r="D13" s="87"/>
      <c r="E13" s="87">
        <v>8</v>
      </c>
      <c r="F13" s="23">
        <v>-639788</v>
      </c>
      <c r="G13" s="26">
        <f>D13+E13+F13-E12-F12</f>
        <v>-1091</v>
      </c>
      <c r="H13" s="132">
        <v>-200</v>
      </c>
      <c r="I13" s="63">
        <v>10800</v>
      </c>
      <c r="J13" s="63">
        <v>-600</v>
      </c>
      <c r="K13" s="63">
        <f t="shared" ref="K13:K16" si="7">SUM(H13:J13)</f>
        <v>10000</v>
      </c>
      <c r="L13" s="150">
        <v>-24</v>
      </c>
      <c r="M13" s="153"/>
      <c r="N13" s="149">
        <f t="shared" si="6"/>
        <v>8885</v>
      </c>
      <c r="O13" s="67">
        <f t="shared" si="1"/>
        <v>1042514.5571428572</v>
      </c>
      <c r="P13" s="7">
        <f>(IF($Q13&lt;0,-$Q$3+P12,($Q13-$Q$3)+P12))</f>
        <v>7297601.9000000004</v>
      </c>
      <c r="Q13" s="164">
        <f>Q12+N13+1</f>
        <v>1345956.15</v>
      </c>
      <c r="R13" s="29">
        <f t="shared" si="2"/>
        <v>1062.0097705835847</v>
      </c>
      <c r="S13" s="5">
        <f>SUM($Q$7:$Q13)/T13</f>
        <v>1345173.4357142858</v>
      </c>
      <c r="T13" s="17">
        <v>7</v>
      </c>
      <c r="U13" s="138">
        <f>B14+6</f>
        <v>43375</v>
      </c>
      <c r="V13" s="155">
        <v>1369.3</v>
      </c>
      <c r="W13" s="105">
        <v>-1241725</v>
      </c>
      <c r="X13" s="167"/>
      <c r="Y13" s="156">
        <f>Y12-K13-L13-1</f>
        <v>-1241725</v>
      </c>
      <c r="Z13" s="167"/>
      <c r="AA13" s="92"/>
      <c r="AB13" s="92"/>
    </row>
    <row r="14" spans="2:255">
      <c r="B14" s="116">
        <v>43369</v>
      </c>
      <c r="C14" s="14" t="str">
        <f t="shared" si="0"/>
        <v/>
      </c>
      <c r="D14" s="87">
        <f>-8918-4963-2700-934+6434</f>
        <v>-11081</v>
      </c>
      <c r="E14" s="87">
        <v>48</v>
      </c>
      <c r="F14" s="23">
        <v>-648272</v>
      </c>
      <c r="G14" s="26">
        <f>D14+E14+F14-E13-F13</f>
        <v>-19525</v>
      </c>
      <c r="H14" s="132">
        <v>800</v>
      </c>
      <c r="I14" s="63">
        <v>6900</v>
      </c>
      <c r="J14" s="63">
        <v>-600</v>
      </c>
      <c r="K14" s="63">
        <f t="shared" si="7"/>
        <v>7100</v>
      </c>
      <c r="L14" s="150">
        <v>-12</v>
      </c>
      <c r="M14" s="154"/>
      <c r="N14" s="149">
        <f>L14+K14+G14+M14</f>
        <v>-12437</v>
      </c>
      <c r="O14" s="67">
        <f t="shared" si="1"/>
        <v>1063057.0062500001</v>
      </c>
      <c r="P14" s="7">
        <f t="shared" si="3"/>
        <v>8504456.0500000007</v>
      </c>
      <c r="Q14" s="164">
        <f>Q13+N14-2</f>
        <v>1333517.1499999999</v>
      </c>
      <c r="R14" s="29">
        <f t="shared" si="2"/>
        <v>1060.8594459313297</v>
      </c>
      <c r="S14" s="5">
        <f>SUM($Q$7:$Q14)/T14</f>
        <v>1343716.4000000001</v>
      </c>
      <c r="T14" s="17">
        <v>8</v>
      </c>
      <c r="W14" s="105">
        <v>-1248812</v>
      </c>
      <c r="Y14" s="156">
        <f>Y13-K14-L14+1</f>
        <v>-1248812</v>
      </c>
      <c r="Z14" s="167"/>
      <c r="AA14" s="92"/>
    </row>
    <row r="15" spans="2:255">
      <c r="B15" s="116">
        <v>43370</v>
      </c>
      <c r="C15" s="14" t="str">
        <f t="shared" si="0"/>
        <v/>
      </c>
      <c r="D15" s="87">
        <f>-2266+1261</f>
        <v>-1005</v>
      </c>
      <c r="E15" s="87">
        <v>29</v>
      </c>
      <c r="F15" s="23">
        <v>-635360</v>
      </c>
      <c r="G15" s="26">
        <f>D15+E15+F15-E14-F14</f>
        <v>11888</v>
      </c>
      <c r="H15" s="132">
        <v>-2100</v>
      </c>
      <c r="I15" s="63">
        <v>-10600</v>
      </c>
      <c r="J15" s="63">
        <v>-600</v>
      </c>
      <c r="K15" s="63">
        <f t="shared" si="7"/>
        <v>-13300</v>
      </c>
      <c r="L15" s="151">
        <v>15</v>
      </c>
      <c r="M15" s="153"/>
      <c r="N15" s="149">
        <f>L15+K15+G15+M15</f>
        <v>-1397</v>
      </c>
      <c r="O15" s="67">
        <f t="shared" si="1"/>
        <v>1078879.3555555558</v>
      </c>
      <c r="P15" s="7">
        <f t="shared" si="3"/>
        <v>9709914.2000000011</v>
      </c>
      <c r="Q15" s="164">
        <f>Q14+N15+1</f>
        <v>1332121.1499999999</v>
      </c>
      <c r="R15" s="29">
        <f t="shared" si="2"/>
        <v>1059.8422892943395</v>
      </c>
      <c r="S15" s="5">
        <f>SUM($Q$7:$Q15)/T15</f>
        <v>1342428.0388888891</v>
      </c>
      <c r="T15" s="17">
        <v>9</v>
      </c>
      <c r="W15" s="105">
        <v>-1235528</v>
      </c>
      <c r="X15" s="167"/>
      <c r="Y15" s="156">
        <f>Y14-K15-L15-1</f>
        <v>-1235528</v>
      </c>
      <c r="Z15" s="167"/>
      <c r="AA15" s="92"/>
      <c r="AB15" s="92"/>
    </row>
    <row r="16" spans="2:255" s="69" customFormat="1">
      <c r="B16" s="116">
        <v>43371</v>
      </c>
      <c r="C16" s="14" t="str">
        <f t="shared" si="0"/>
        <v/>
      </c>
      <c r="D16" s="129"/>
      <c r="E16" s="87">
        <v>130</v>
      </c>
      <c r="F16" s="23">
        <v>-639516</v>
      </c>
      <c r="G16" s="26">
        <f>D16+E16+F16-E15-F15</f>
        <v>-4055</v>
      </c>
      <c r="H16" s="132">
        <v>700</v>
      </c>
      <c r="I16" s="63">
        <v>-16300</v>
      </c>
      <c r="J16" s="63">
        <v>-600</v>
      </c>
      <c r="K16" s="63">
        <f t="shared" si="7"/>
        <v>-16200</v>
      </c>
      <c r="L16" s="151">
        <v>-1</v>
      </c>
      <c r="M16" s="153"/>
      <c r="N16" s="152">
        <f>L16+K16+G16+M16</f>
        <v>-20256</v>
      </c>
      <c r="O16" s="67">
        <f t="shared" si="1"/>
        <v>1089511.5350000001</v>
      </c>
      <c r="P16" s="70">
        <f t="shared" si="3"/>
        <v>10895115.350000001</v>
      </c>
      <c r="Q16" s="164">
        <f>Q15+N16-1</f>
        <v>1311864.1499999999</v>
      </c>
      <c r="R16" s="71">
        <f t="shared" si="2"/>
        <v>1057.4300703441415</v>
      </c>
      <c r="S16" s="72">
        <f>SUM($Q$7:$Q16)/T16+1</f>
        <v>1339372.6500000001</v>
      </c>
      <c r="T16" s="73">
        <v>10</v>
      </c>
      <c r="V16" s="133"/>
      <c r="W16" s="105">
        <v>-1219327</v>
      </c>
      <c r="X16" s="167"/>
      <c r="Y16" s="156">
        <f t="shared" si="5"/>
        <v>-1219327</v>
      </c>
      <c r="Z16" s="167"/>
      <c r="AA16" s="1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43372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1098210.5909090911</v>
      </c>
      <c r="P17" s="7">
        <f t="shared" si="3"/>
        <v>12080316.500000002</v>
      </c>
      <c r="Q17" s="164">
        <f t="shared" si="4"/>
        <v>1311864.1499999999</v>
      </c>
      <c r="R17" s="29">
        <f t="shared" si="2"/>
        <v>1055.4550012093653</v>
      </c>
      <c r="S17" s="5">
        <f>SUM($Q$7:$Q17)/T17</f>
        <v>1336870.9681818185</v>
      </c>
      <c r="T17" s="18">
        <v>11</v>
      </c>
      <c r="U17" s="27"/>
      <c r="V17" s="136"/>
      <c r="W17" s="105">
        <v>-1219327</v>
      </c>
      <c r="X17" s="167"/>
      <c r="Y17" s="156">
        <f t="shared" si="5"/>
        <v>-1219327</v>
      </c>
      <c r="Z17" s="167"/>
      <c r="AA17" s="92"/>
      <c r="AC17" s="92"/>
    </row>
    <row r="18" spans="2:31">
      <c r="B18" s="116">
        <v>43373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1105459.8041666669</v>
      </c>
      <c r="P18" s="7">
        <f t="shared" si="3"/>
        <v>13265517.650000002</v>
      </c>
      <c r="Q18" s="164">
        <f t="shared" si="4"/>
        <v>1311864.1499999999</v>
      </c>
      <c r="R18" s="29">
        <f t="shared" si="2"/>
        <v>1053.8097681775</v>
      </c>
      <c r="S18" s="5">
        <f>SUM($Q$7:$Q18)/T18</f>
        <v>1334787.0666666669</v>
      </c>
      <c r="T18" s="18">
        <v>12</v>
      </c>
      <c r="U18" s="27"/>
      <c r="V18" s="136"/>
      <c r="W18" s="105">
        <v>-1219327</v>
      </c>
      <c r="X18" s="167"/>
      <c r="Y18" s="156">
        <f t="shared" si="5"/>
        <v>-1219327</v>
      </c>
      <c r="Z18" s="167"/>
    </row>
    <row r="19" spans="2:31">
      <c r="B19" s="116">
        <v>43374</v>
      </c>
      <c r="C19" s="14" t="str">
        <f t="shared" si="0"/>
        <v/>
      </c>
      <c r="D19" s="87"/>
      <c r="E19" s="87">
        <v>71</v>
      </c>
      <c r="F19" s="23">
        <v>-643963</v>
      </c>
      <c r="G19" s="26">
        <f>D19+E19+F19-E16-F16</f>
        <v>-4506</v>
      </c>
      <c r="H19" s="132">
        <v>3300</v>
      </c>
      <c r="I19" s="25">
        <v>39700</v>
      </c>
      <c r="J19" s="63">
        <v>-300</v>
      </c>
      <c r="K19" s="63">
        <f>SUM(H19:J19)</f>
        <v>42700</v>
      </c>
      <c r="L19" s="150">
        <v>4</v>
      </c>
      <c r="M19" s="153"/>
      <c r="N19" s="149">
        <f t="shared" si="6"/>
        <v>38198</v>
      </c>
      <c r="O19" s="67">
        <f t="shared" si="1"/>
        <v>1114532.1384615386</v>
      </c>
      <c r="P19" s="7">
        <f t="shared" si="3"/>
        <v>14488917.800000003</v>
      </c>
      <c r="Q19" s="164">
        <f>Q18+N19+1</f>
        <v>1350063.15</v>
      </c>
      <c r="R19" s="29">
        <f t="shared" si="2"/>
        <v>1054.737492401096</v>
      </c>
      <c r="S19" s="5">
        <f>SUM($Q$7:$Q19)/T19</f>
        <v>1335962.1500000001</v>
      </c>
      <c r="T19" s="18">
        <v>13</v>
      </c>
      <c r="U19" s="138">
        <f>B19</f>
        <v>43374</v>
      </c>
      <c r="V19" s="131" t="s">
        <v>230</v>
      </c>
      <c r="W19" s="105">
        <v>-1262031</v>
      </c>
      <c r="X19" s="167">
        <f>AVERAGE(W19:W27)</f>
        <v>-1283719.3333333333</v>
      </c>
      <c r="Y19" s="156">
        <f t="shared" si="5"/>
        <v>-1262031</v>
      </c>
      <c r="Z19" s="167">
        <f>AVERAGE(Y19:Y27)</f>
        <v>-1283719.3333333333</v>
      </c>
    </row>
    <row r="20" spans="2:31">
      <c r="B20" s="116">
        <v>43375</v>
      </c>
      <c r="C20" s="14" t="str">
        <f t="shared" si="0"/>
        <v/>
      </c>
      <c r="D20" s="87"/>
      <c r="E20" s="87">
        <v>91</v>
      </c>
      <c r="F20" s="23">
        <v>-641059</v>
      </c>
      <c r="G20" s="26">
        <f>D20+E20+F20-E19-F19</f>
        <v>2924</v>
      </c>
      <c r="H20" s="132">
        <v>600</v>
      </c>
      <c r="I20" s="25">
        <v>2400</v>
      </c>
      <c r="J20" s="63">
        <v>-300</v>
      </c>
      <c r="K20" s="63">
        <f t="shared" ref="K20:K31" si="8">SUM(H20:J20)</f>
        <v>2700</v>
      </c>
      <c r="L20" s="150">
        <v>45</v>
      </c>
      <c r="M20" s="153"/>
      <c r="N20" s="149">
        <f t="shared" si="6"/>
        <v>5669</v>
      </c>
      <c r="O20" s="67">
        <f t="shared" si="1"/>
        <v>1122713.2821428573</v>
      </c>
      <c r="P20" s="7">
        <f t="shared" si="3"/>
        <v>15717985.950000003</v>
      </c>
      <c r="Q20" s="164">
        <f>Q19+N20-1</f>
        <v>1355731.15</v>
      </c>
      <c r="R20" s="29">
        <f t="shared" si="2"/>
        <v>1055.8523179054432</v>
      </c>
      <c r="S20" s="5">
        <f>SUM($Q$7:$Q20)/T20</f>
        <v>1337374.2214285715</v>
      </c>
      <c r="T20" s="18">
        <v>14</v>
      </c>
      <c r="U20" s="138">
        <f>B21+6</f>
        <v>43382</v>
      </c>
      <c r="V20" s="131">
        <v>1254.8</v>
      </c>
      <c r="W20" s="105">
        <v>-1264776</v>
      </c>
      <c r="X20" s="167"/>
      <c r="Y20" s="156">
        <f t="shared" si="5"/>
        <v>-1264776</v>
      </c>
      <c r="Z20" s="167"/>
      <c r="AA20" s="92"/>
      <c r="AB20" s="92"/>
    </row>
    <row r="21" spans="2:31">
      <c r="B21" s="116">
        <v>43376</v>
      </c>
      <c r="C21" s="14" t="str">
        <f t="shared" si="0"/>
        <v/>
      </c>
      <c r="D21" s="87">
        <f>-6434+7241</f>
        <v>807</v>
      </c>
      <c r="E21" s="87">
        <v>88</v>
      </c>
      <c r="F21" s="23">
        <v>-636557</v>
      </c>
      <c r="G21" s="26">
        <f>D21+E21+F21-E20-F20</f>
        <v>5306</v>
      </c>
      <c r="H21" s="132">
        <v>700</v>
      </c>
      <c r="I21" s="25">
        <v>17600</v>
      </c>
      <c r="J21" s="63">
        <v>-300</v>
      </c>
      <c r="K21" s="63">
        <f t="shared" si="8"/>
        <v>18000</v>
      </c>
      <c r="L21" s="150">
        <v>-25</v>
      </c>
      <c r="M21" s="153"/>
      <c r="N21" s="149">
        <f>L21+K21+G21+M21-2</f>
        <v>23279</v>
      </c>
      <c r="O21" s="67">
        <f t="shared" si="1"/>
        <v>1131355.8066666669</v>
      </c>
      <c r="P21" s="7">
        <f t="shared" si="3"/>
        <v>16970337.100000001</v>
      </c>
      <c r="Q21" s="164">
        <f>Q20+N21+2+2</f>
        <v>1379014.15</v>
      </c>
      <c r="R21" s="29">
        <f t="shared" si="2"/>
        <v>1058.0439565355839</v>
      </c>
      <c r="S21" s="5">
        <f>SUM($Q$7:$Q21)/T21</f>
        <v>1340150.2166666666</v>
      </c>
      <c r="T21" s="18">
        <v>15</v>
      </c>
      <c r="V21" s="131"/>
      <c r="W21" s="105">
        <v>-1282751</v>
      </c>
      <c r="Y21" s="156">
        <f t="shared" si="5"/>
        <v>-1282751</v>
      </c>
      <c r="AA21" s="92"/>
    </row>
    <row r="22" spans="2:31">
      <c r="B22" s="116">
        <v>43377</v>
      </c>
      <c r="C22" s="14" t="str">
        <f t="shared" si="0"/>
        <v/>
      </c>
      <c r="D22" s="87"/>
      <c r="E22" s="87">
        <v>60</v>
      </c>
      <c r="F22" s="23">
        <v>-647921</v>
      </c>
      <c r="G22" s="26">
        <f>D22+E22+F22-E21-F21</f>
        <v>-11392</v>
      </c>
      <c r="H22" s="132">
        <v>700</v>
      </c>
      <c r="I22" s="25">
        <v>9000</v>
      </c>
      <c r="J22" s="63">
        <v>-300</v>
      </c>
      <c r="K22" s="63">
        <f t="shared" si="8"/>
        <v>9400</v>
      </c>
      <c r="L22" s="150">
        <v>41</v>
      </c>
      <c r="M22" s="153"/>
      <c r="N22" s="149">
        <f>L22+K22+G22+M22</f>
        <v>-1951</v>
      </c>
      <c r="O22" s="67">
        <f t="shared" si="1"/>
        <v>1138796.015625</v>
      </c>
      <c r="P22" s="7">
        <f t="shared" si="3"/>
        <v>18220736.25</v>
      </c>
      <c r="Q22" s="164">
        <f>Q21+N22-1</f>
        <v>1377062.15</v>
      </c>
      <c r="R22" s="29">
        <f t="shared" si="2"/>
        <v>1059.8653217593142</v>
      </c>
      <c r="S22" s="5">
        <f>SUM($Q$7:$Q22)/T22</f>
        <v>1342457.2124999999</v>
      </c>
      <c r="T22" s="18">
        <v>16</v>
      </c>
      <c r="V22" s="131"/>
      <c r="W22" s="105">
        <v>-1292192</v>
      </c>
      <c r="X22" s="167"/>
      <c r="Y22" s="156">
        <f t="shared" si="5"/>
        <v>-1292192</v>
      </c>
      <c r="Z22" s="167"/>
      <c r="AA22" s="92"/>
    </row>
    <row r="23" spans="2:31">
      <c r="B23" s="116">
        <v>43378</v>
      </c>
      <c r="C23" s="14" t="str">
        <f t="shared" si="0"/>
        <v/>
      </c>
      <c r="D23" s="87"/>
      <c r="E23" s="87">
        <v>70</v>
      </c>
      <c r="F23" s="23">
        <v>-641371</v>
      </c>
      <c r="G23" s="26">
        <f>D23+E23+F23-E22-F22</f>
        <v>6560</v>
      </c>
      <c r="H23" s="132">
        <v>700</v>
      </c>
      <c r="I23" s="25">
        <v>-2300</v>
      </c>
      <c r="J23" s="63">
        <v>-400</v>
      </c>
      <c r="K23" s="63">
        <f t="shared" si="8"/>
        <v>-2000</v>
      </c>
      <c r="L23" s="150">
        <v>-36</v>
      </c>
      <c r="M23" s="153"/>
      <c r="N23" s="149">
        <f>L23+K23+G23+M23</f>
        <v>4524</v>
      </c>
      <c r="O23" s="67">
        <f t="shared" si="1"/>
        <v>1145627.0823529412</v>
      </c>
      <c r="P23" s="7">
        <f t="shared" si="3"/>
        <v>19475660.399999999</v>
      </c>
      <c r="Q23" s="164">
        <f>Q22+N23+1</f>
        <v>1381587.15</v>
      </c>
      <c r="R23" s="29">
        <f t="shared" si="2"/>
        <v>1061.6825541234705</v>
      </c>
      <c r="S23" s="5">
        <f>SUM($Q$7:$Q23)/T23</f>
        <v>1344758.9735294115</v>
      </c>
      <c r="T23" s="18">
        <v>17</v>
      </c>
      <c r="U23" s="27"/>
      <c r="V23" s="135"/>
      <c r="W23" s="105">
        <v>-1290156</v>
      </c>
      <c r="X23" s="167"/>
      <c r="Y23" s="156">
        <f t="shared" si="5"/>
        <v>-1290156</v>
      </c>
      <c r="Z23" s="167"/>
      <c r="AA23" s="92"/>
    </row>
    <row r="24" spans="2:31">
      <c r="B24" s="116">
        <v>43379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1151699.1416666666</v>
      </c>
      <c r="P24" s="7">
        <f t="shared" si="3"/>
        <v>20730584.549999997</v>
      </c>
      <c r="Q24" s="164">
        <f t="shared" si="4"/>
        <v>1381587.15</v>
      </c>
      <c r="R24" s="29">
        <f t="shared" si="2"/>
        <v>1063.2978717804988</v>
      </c>
      <c r="S24" s="5">
        <f>SUM($Q$7:$Q24)/T24</f>
        <v>1346804.9833333332</v>
      </c>
      <c r="T24" s="18">
        <v>18</v>
      </c>
      <c r="V24" s="135"/>
      <c r="W24" s="105">
        <v>-1290156</v>
      </c>
      <c r="X24" s="167"/>
      <c r="Y24" s="156">
        <f t="shared" si="5"/>
        <v>-1290156</v>
      </c>
      <c r="Z24" s="167"/>
      <c r="AD24" s="1"/>
      <c r="AE24" s="1"/>
    </row>
    <row r="25" spans="2:31">
      <c r="B25" s="116">
        <v>43380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1157132.036842105</v>
      </c>
      <c r="P25" s="7">
        <f t="shared" si="3"/>
        <v>21985508.699999996</v>
      </c>
      <c r="Q25" s="164">
        <f t="shared" si="4"/>
        <v>1381587.15</v>
      </c>
      <c r="R25" s="29">
        <f t="shared" si="2"/>
        <v>1064.743155999945</v>
      </c>
      <c r="S25" s="5">
        <f>SUM($Q$7:$Q25)/T25</f>
        <v>1348635.6236842102</v>
      </c>
      <c r="T25" s="18">
        <v>19</v>
      </c>
      <c r="V25" s="131"/>
      <c r="W25" s="105">
        <v>-1290156</v>
      </c>
      <c r="X25" s="167"/>
      <c r="Y25" s="156">
        <f t="shared" si="5"/>
        <v>-1290156</v>
      </c>
      <c r="Z25" s="167"/>
      <c r="AD25" s="1"/>
      <c r="AE25" s="1"/>
    </row>
    <row r="26" spans="2:31">
      <c r="B26" s="116">
        <v>43381</v>
      </c>
      <c r="C26" s="14" t="str">
        <f t="shared" si="0"/>
        <v/>
      </c>
      <c r="D26" s="87"/>
      <c r="E26" s="87">
        <v>58</v>
      </c>
      <c r="F26" s="23">
        <v>-644616</v>
      </c>
      <c r="G26" s="26">
        <f>D26+E26+F26-E23-F23</f>
        <v>-3257</v>
      </c>
      <c r="H26" s="132">
        <v>600</v>
      </c>
      <c r="I26" s="25">
        <v>-4000</v>
      </c>
      <c r="J26" s="25">
        <v>200</v>
      </c>
      <c r="K26" s="63">
        <f t="shared" si="8"/>
        <v>-3200</v>
      </c>
      <c r="L26" s="150">
        <v>9</v>
      </c>
      <c r="M26" s="153"/>
      <c r="N26" s="149">
        <f t="shared" si="6"/>
        <v>-6448</v>
      </c>
      <c r="O26" s="67">
        <f t="shared" si="1"/>
        <v>1161699.1924999997</v>
      </c>
      <c r="P26" s="7">
        <f t="shared" si="3"/>
        <v>23233983.849999994</v>
      </c>
      <c r="Q26" s="164">
        <f>Q25+N26-1</f>
        <v>1375138.15</v>
      </c>
      <c r="R26" s="29">
        <f t="shared" si="2"/>
        <v>1065.7901281352879</v>
      </c>
      <c r="S26" s="5">
        <f>SUM($Q$7:$Q26)/T26+1</f>
        <v>1349961.7499999995</v>
      </c>
      <c r="T26" s="18">
        <v>20</v>
      </c>
      <c r="U26" s="138">
        <f>B26</f>
        <v>43381</v>
      </c>
      <c r="V26" s="131" t="s">
        <v>231</v>
      </c>
      <c r="W26" s="105">
        <v>-1286965</v>
      </c>
      <c r="X26" s="167">
        <f>AVERAGE(W26:W34)</f>
        <v>-1293850.111111111</v>
      </c>
      <c r="Y26" s="156">
        <f t="shared" si="5"/>
        <v>-1286965</v>
      </c>
      <c r="Z26" s="167">
        <f>AVERAGE(Y26:Y34)</f>
        <v>-1293850.111111111</v>
      </c>
      <c r="AD26" s="1"/>
      <c r="AE26" s="1"/>
    </row>
    <row r="27" spans="2:31">
      <c r="B27" s="116">
        <v>43382</v>
      </c>
      <c r="C27" s="14" t="str">
        <f t="shared" si="0"/>
        <v/>
      </c>
      <c r="D27" s="87"/>
      <c r="E27" s="87">
        <v>40</v>
      </c>
      <c r="F27" s="23">
        <v>-642142</v>
      </c>
      <c r="G27" s="26">
        <f>D27+E27+F27-E26-F26</f>
        <v>2456</v>
      </c>
      <c r="H27" s="132">
        <v>700</v>
      </c>
      <c r="I27" s="25">
        <v>6400</v>
      </c>
      <c r="J27" s="25">
        <v>200</v>
      </c>
      <c r="K27" s="63">
        <f t="shared" si="8"/>
        <v>7300</v>
      </c>
      <c r="L27" s="150">
        <v>26</v>
      </c>
      <c r="M27" s="153"/>
      <c r="N27" s="149">
        <f>L27+K27+G27+M27</f>
        <v>9782</v>
      </c>
      <c r="O27" s="67">
        <f t="shared" si="1"/>
        <v>1166297.1904761901</v>
      </c>
      <c r="P27" s="7">
        <f t="shared" si="3"/>
        <v>24492240.999999993</v>
      </c>
      <c r="Q27" s="164">
        <f>Q26+N27</f>
        <v>1384920.15</v>
      </c>
      <c r="R27" s="29">
        <f t="shared" si="2"/>
        <v>1067.1044293387438</v>
      </c>
      <c r="S27" s="5">
        <f>SUM($Q$7:$Q27)/T27+1</f>
        <v>1351626.4833333329</v>
      </c>
      <c r="T27" s="18">
        <v>21</v>
      </c>
      <c r="U27" s="138">
        <f>B28+6</f>
        <v>43389</v>
      </c>
      <c r="V27" s="159">
        <v>1314.2</v>
      </c>
      <c r="W27" s="105">
        <v>-1294291</v>
      </c>
      <c r="X27" s="167"/>
      <c r="Y27" s="156">
        <f>Y26-K27-L27</f>
        <v>-1294291</v>
      </c>
      <c r="Z27" s="167"/>
      <c r="AA27" s="92"/>
      <c r="AD27" s="1"/>
      <c r="AE27" s="1"/>
    </row>
    <row r="28" spans="2:31">
      <c r="B28" s="116">
        <v>43383</v>
      </c>
      <c r="C28" s="14" t="str">
        <f t="shared" si="0"/>
        <v/>
      </c>
      <c r="D28" s="87">
        <f>-7241+7302</f>
        <v>61</v>
      </c>
      <c r="E28" s="87">
        <v>35</v>
      </c>
      <c r="F28" s="23">
        <v>-654747</v>
      </c>
      <c r="G28" s="26">
        <f>D28+E28+F28-E27-F27</f>
        <v>-12549</v>
      </c>
      <c r="H28" s="132">
        <v>700</v>
      </c>
      <c r="I28" s="25">
        <v>-3400</v>
      </c>
      <c r="J28" s="25">
        <v>100</v>
      </c>
      <c r="K28" s="63">
        <f t="shared" si="8"/>
        <v>-2600</v>
      </c>
      <c r="L28" s="150">
        <v>-1</v>
      </c>
      <c r="M28" s="153"/>
      <c r="N28" s="149">
        <f>L28+K28+G28+M28</f>
        <v>-15150</v>
      </c>
      <c r="O28" s="67">
        <f t="shared" si="1"/>
        <v>1169788.5522727268</v>
      </c>
      <c r="P28" s="7">
        <f t="shared" si="3"/>
        <v>25735348.149999991</v>
      </c>
      <c r="Q28" s="164">
        <f>Q27+N28</f>
        <v>1369770.15</v>
      </c>
      <c r="R28" s="29">
        <f t="shared" si="2"/>
        <v>1067.7603095687696</v>
      </c>
      <c r="S28" s="5">
        <f>SUM($Q$7:$Q28)/T28+7</f>
        <v>1352457.2409090905</v>
      </c>
      <c r="T28" s="18">
        <v>22</v>
      </c>
      <c r="V28" s="131"/>
      <c r="W28" s="105">
        <v>-1291690</v>
      </c>
      <c r="X28" s="167"/>
      <c r="Y28" s="156">
        <f t="shared" si="5"/>
        <v>-1291690</v>
      </c>
      <c r="Z28" s="167"/>
      <c r="AA28" s="92"/>
      <c r="AD28" s="1"/>
      <c r="AE28" s="1"/>
    </row>
    <row r="29" spans="2:31">
      <c r="B29" s="116">
        <v>43384</v>
      </c>
      <c r="C29" s="14" t="str">
        <f t="shared" si="0"/>
        <v/>
      </c>
      <c r="D29" s="87"/>
      <c r="E29" s="87">
        <v>45</v>
      </c>
      <c r="F29" s="23">
        <v>-652500</v>
      </c>
      <c r="G29" s="26">
        <f>D29+E29+F29-E28-F28</f>
        <v>2257</v>
      </c>
      <c r="H29" s="132">
        <v>700</v>
      </c>
      <c r="I29" s="25">
        <v>-5800</v>
      </c>
      <c r="J29" s="25">
        <v>100</v>
      </c>
      <c r="K29" s="63">
        <f t="shared" si="8"/>
        <v>-5000</v>
      </c>
      <c r="L29" s="150">
        <v>-16</v>
      </c>
      <c r="M29" s="153"/>
      <c r="N29" s="149">
        <f>L29+K29+G29+M29</f>
        <v>-2759</v>
      </c>
      <c r="O29" s="67">
        <f t="shared" si="1"/>
        <v>1172856.4043478256</v>
      </c>
      <c r="P29" s="7">
        <f t="shared" si="3"/>
        <v>26975697.29999999</v>
      </c>
      <c r="Q29" s="164">
        <f>Q28+N29+1</f>
        <v>1367012.15</v>
      </c>
      <c r="R29" s="29">
        <f t="shared" si="2"/>
        <v>1068.2593712380915</v>
      </c>
      <c r="S29" s="5">
        <f>SUM($Q$7:$Q29)/T29+6</f>
        <v>1353089.3673913039</v>
      </c>
      <c r="T29" s="18">
        <v>23</v>
      </c>
      <c r="V29" s="131"/>
      <c r="W29" s="105">
        <v>-1286674</v>
      </c>
      <c r="X29" s="167"/>
      <c r="Y29" s="156">
        <f t="shared" si="5"/>
        <v>-1286674</v>
      </c>
      <c r="Z29" s="167"/>
      <c r="AA29" s="92"/>
      <c r="AD29" s="1"/>
      <c r="AE29" s="1"/>
    </row>
    <row r="30" spans="2:31">
      <c r="B30" s="116">
        <v>43385</v>
      </c>
      <c r="C30" s="14" t="str">
        <f t="shared" si="0"/>
        <v/>
      </c>
      <c r="D30" s="87"/>
      <c r="E30" s="87">
        <v>50</v>
      </c>
      <c r="F30" s="23">
        <v>-654703</v>
      </c>
      <c r="G30" s="26">
        <f>D30+E30+F30-E29-F29</f>
        <v>-2198</v>
      </c>
      <c r="H30" s="132">
        <v>600</v>
      </c>
      <c r="I30" s="25">
        <v>13400</v>
      </c>
      <c r="J30" s="25">
        <v>100</v>
      </c>
      <c r="K30" s="63">
        <f t="shared" si="8"/>
        <v>14100</v>
      </c>
      <c r="L30" s="150">
        <v>12</v>
      </c>
      <c r="M30" s="153"/>
      <c r="N30" s="149">
        <f t="shared" si="6"/>
        <v>11914</v>
      </c>
      <c r="O30" s="67">
        <f t="shared" si="1"/>
        <v>1176164.9770833328</v>
      </c>
      <c r="P30" s="7">
        <f t="shared" si="3"/>
        <v>28227959.449999988</v>
      </c>
      <c r="Q30" s="164">
        <f>Q29+N30-1</f>
        <v>1378925.15</v>
      </c>
      <c r="R30" s="29">
        <f t="shared" si="2"/>
        <v>1069.1094544842083</v>
      </c>
      <c r="S30" s="5">
        <f>SUM($Q$7:$Q30)/T30+6</f>
        <v>1354166.1083333327</v>
      </c>
      <c r="T30" s="18">
        <v>24</v>
      </c>
      <c r="V30" s="131"/>
      <c r="W30" s="105">
        <v>-1300786</v>
      </c>
      <c r="X30" s="167"/>
      <c r="Y30" s="156">
        <f t="shared" si="5"/>
        <v>-1300786</v>
      </c>
      <c r="Z30" s="167"/>
      <c r="AA30" s="92"/>
      <c r="AD30" s="1"/>
      <c r="AE30" s="1"/>
    </row>
    <row r="31" spans="2:31">
      <c r="B31" s="116">
        <v>43386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>
        <f t="shared" si="8"/>
        <v>0</v>
      </c>
      <c r="L31" s="150"/>
      <c r="M31" s="153"/>
      <c r="N31" s="149">
        <f>L31+K31+G31+M31</f>
        <v>0</v>
      </c>
      <c r="O31" s="67">
        <f>P31/T31</f>
        <v>1179208.8639999994</v>
      </c>
      <c r="P31" s="7">
        <f t="shared" si="3"/>
        <v>29480221.599999987</v>
      </c>
      <c r="Q31" s="164">
        <f t="shared" si="4"/>
        <v>1378925.15</v>
      </c>
      <c r="R31" s="29">
        <f t="shared" si="2"/>
        <v>1069.8883730844836</v>
      </c>
      <c r="S31" s="5">
        <f>SUM($Q$7:$Q31)/T31+2</f>
        <v>1355152.7099999995</v>
      </c>
      <c r="T31" s="18">
        <v>25</v>
      </c>
      <c r="V31" s="137"/>
      <c r="W31" s="105">
        <v>-1300786</v>
      </c>
      <c r="X31" s="167"/>
      <c r="Y31" s="156">
        <f t="shared" si="5"/>
        <v>-1300786</v>
      </c>
      <c r="Z31" s="167"/>
      <c r="AA31" s="92"/>
      <c r="AB31" s="92"/>
      <c r="AD31" s="1"/>
      <c r="AE31" s="1"/>
    </row>
    <row r="32" spans="2:31">
      <c r="B32" s="116">
        <v>43387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1182018.6057692303</v>
      </c>
      <c r="P32" s="7">
        <f t="shared" si="3"/>
        <v>30732483.749999985</v>
      </c>
      <c r="Q32" s="164">
        <f t="shared" si="4"/>
        <v>1378925.15</v>
      </c>
      <c r="R32" s="29">
        <f t="shared" si="2"/>
        <v>1070.6095004369554</v>
      </c>
      <c r="S32" s="5">
        <f>SUM($Q$7:$Q32)/T32+1</f>
        <v>1356066.1115384609</v>
      </c>
      <c r="T32" s="18">
        <v>26</v>
      </c>
      <c r="U32" s="27"/>
      <c r="V32" s="137"/>
      <c r="W32" s="105">
        <v>-1300786</v>
      </c>
      <c r="X32" s="167"/>
      <c r="Y32" s="156">
        <f t="shared" si="5"/>
        <v>-1300786</v>
      </c>
      <c r="Z32" s="167"/>
      <c r="AD32" s="1"/>
      <c r="AE32" s="1"/>
    </row>
    <row r="33" spans="2:31">
      <c r="B33" s="116">
        <v>43388</v>
      </c>
      <c r="C33" s="14" t="str">
        <f t="shared" si="0"/>
        <v/>
      </c>
      <c r="D33" s="87"/>
      <c r="E33" s="87">
        <v>59</v>
      </c>
      <c r="F33" s="23">
        <v>-647295</v>
      </c>
      <c r="G33" s="26">
        <f>D33+E33+F33-E30-F30</f>
        <v>7417</v>
      </c>
      <c r="H33" s="132">
        <v>3900</v>
      </c>
      <c r="I33" s="25">
        <v>-5800</v>
      </c>
      <c r="J33" s="25">
        <v>400</v>
      </c>
      <c r="K33" s="63">
        <f>SUM(H33:J33)</f>
        <v>-1500</v>
      </c>
      <c r="L33" s="150">
        <v>-33</v>
      </c>
      <c r="M33" s="153"/>
      <c r="N33" s="149">
        <f t="shared" si="6"/>
        <v>5884</v>
      </c>
      <c r="O33" s="67">
        <f t="shared" si="1"/>
        <v>1184838.1814814808</v>
      </c>
      <c r="P33" s="7">
        <f t="shared" si="3"/>
        <v>31990630.899999984</v>
      </c>
      <c r="Q33" s="164">
        <f>Q32+N33+1</f>
        <v>1384810.15</v>
      </c>
      <c r="R33" s="29">
        <f t="shared" si="2"/>
        <v>1071.4531809546529</v>
      </c>
      <c r="S33" s="5">
        <f>SUM($Q$7:$Q33)/T33+5</f>
        <v>1357134.742592592</v>
      </c>
      <c r="T33" s="18">
        <v>27</v>
      </c>
      <c r="U33" s="138">
        <f>B33</f>
        <v>43388</v>
      </c>
      <c r="V33" s="131" t="s">
        <v>232</v>
      </c>
      <c r="W33" s="105">
        <v>-1299253</v>
      </c>
      <c r="X33" s="167">
        <f>AVERAGE(W33:W41)</f>
        <v>-1273147.7777777778</v>
      </c>
      <c r="Y33" s="156">
        <f t="shared" si="5"/>
        <v>-1299253</v>
      </c>
      <c r="Z33" s="167">
        <f>AVERAGE(Y33:Y41)</f>
        <v>-1276481.111111111</v>
      </c>
      <c r="AD33" s="1"/>
      <c r="AE33" s="1"/>
    </row>
    <row r="34" spans="2:31">
      <c r="B34" s="116">
        <v>43389</v>
      </c>
      <c r="C34" s="14" t="str">
        <f t="shared" si="0"/>
        <v/>
      </c>
      <c r="D34" s="87"/>
      <c r="E34" s="87">
        <v>56</v>
      </c>
      <c r="F34" s="23">
        <v>-644509</v>
      </c>
      <c r="G34" s="26">
        <f>D34+E34+F34-E33-F33</f>
        <v>2783</v>
      </c>
      <c r="H34" s="132">
        <v>3100</v>
      </c>
      <c r="I34" s="25">
        <v>-19300</v>
      </c>
      <c r="J34" s="25">
        <v>400</v>
      </c>
      <c r="K34" s="63">
        <f>SUM(H34:J34)</f>
        <v>-15800</v>
      </c>
      <c r="L34" s="150">
        <v>-33</v>
      </c>
      <c r="M34" s="153"/>
      <c r="N34" s="149">
        <f>L34+K34+G34+M34</f>
        <v>-13050</v>
      </c>
      <c r="O34" s="67">
        <f t="shared" si="1"/>
        <v>1186990.2874999994</v>
      </c>
      <c r="P34" s="7">
        <f t="shared" si="3"/>
        <v>33235728.049999982</v>
      </c>
      <c r="Q34" s="164">
        <f>Q33+N34</f>
        <v>1371760.15</v>
      </c>
      <c r="R34" s="29">
        <f t="shared" si="2"/>
        <v>1071.8657043831715</v>
      </c>
      <c r="S34" s="5">
        <f>SUM($Q$7:$Q34)/T34+5</f>
        <v>1357657.2571428565</v>
      </c>
      <c r="T34" s="18">
        <v>28</v>
      </c>
      <c r="U34" s="138">
        <f>B35+6</f>
        <v>43396</v>
      </c>
      <c r="V34" s="131">
        <v>1336.9</v>
      </c>
      <c r="W34" s="105">
        <v>-1283420</v>
      </c>
      <c r="X34" s="167"/>
      <c r="Y34" s="156">
        <f t="shared" si="5"/>
        <v>-1283420</v>
      </c>
      <c r="Z34" s="167"/>
      <c r="AA34" s="92"/>
      <c r="AD34" s="1"/>
      <c r="AE34" s="1"/>
    </row>
    <row r="35" spans="2:31">
      <c r="B35" s="116">
        <v>43390</v>
      </c>
      <c r="C35" s="14" t="str">
        <f t="shared" si="0"/>
        <v/>
      </c>
      <c r="D35" s="87">
        <f>-7302+7860</f>
        <v>558</v>
      </c>
      <c r="E35" s="87">
        <v>20</v>
      </c>
      <c r="F35" s="23">
        <v>-634594</v>
      </c>
      <c r="G35" s="26">
        <f>D35+E35+F35-E34-F34</f>
        <v>10437</v>
      </c>
      <c r="H35" s="132">
        <v>-400</v>
      </c>
      <c r="I35" s="25">
        <v>-8700</v>
      </c>
      <c r="J35" s="25">
        <v>300</v>
      </c>
      <c r="K35" s="63">
        <f>SUM(H35:J35)</f>
        <v>-8800</v>
      </c>
      <c r="L35" s="150">
        <v>-45</v>
      </c>
      <c r="M35" s="153"/>
      <c r="N35" s="149">
        <f t="shared" si="6"/>
        <v>1592</v>
      </c>
      <c r="O35" s="67">
        <f t="shared" si="1"/>
        <v>1189048.8344827578</v>
      </c>
      <c r="P35" s="7">
        <f t="shared" si="3"/>
        <v>34482416.199999981</v>
      </c>
      <c r="Q35" s="164">
        <f>Q34+N35-1</f>
        <v>1373351.15</v>
      </c>
      <c r="R35" s="29">
        <f t="shared" si="2"/>
        <v>1072.2883543543587</v>
      </c>
      <c r="S35" s="5">
        <f>SUM($Q$7:$Q35)/T35-1</f>
        <v>1358192.5982758612</v>
      </c>
      <c r="T35" s="18">
        <v>29</v>
      </c>
      <c r="V35" s="131"/>
      <c r="W35" s="105">
        <v>-1274575</v>
      </c>
      <c r="X35" s="167"/>
      <c r="Y35" s="156">
        <f t="shared" si="5"/>
        <v>-1274575</v>
      </c>
      <c r="Z35" s="167"/>
      <c r="AA35" s="92"/>
      <c r="AD35" s="1"/>
      <c r="AE35" s="1"/>
    </row>
    <row r="36" spans="2:31">
      <c r="B36" s="116">
        <v>43391</v>
      </c>
      <c r="C36" s="14" t="str">
        <f t="shared" si="0"/>
        <v/>
      </c>
      <c r="D36" s="87"/>
      <c r="E36" s="87">
        <v>0</v>
      </c>
      <c r="F36" s="23">
        <v>-617932</v>
      </c>
      <c r="G36" s="26">
        <f>D36+E36+F36-E35-F35-1000</f>
        <v>15642</v>
      </c>
      <c r="H36" s="132">
        <v>-5400</v>
      </c>
      <c r="I36" s="25">
        <v>5250</v>
      </c>
      <c r="J36" s="25">
        <v>300</v>
      </c>
      <c r="K36" s="63">
        <f>SUM(H36:J36)</f>
        <v>150</v>
      </c>
      <c r="L36" s="150">
        <v>-26</v>
      </c>
      <c r="M36" s="153"/>
      <c r="N36" s="149">
        <f>L36+K36+G36+M36</f>
        <v>15766</v>
      </c>
      <c r="O36" s="67">
        <f t="shared" si="1"/>
        <v>1191495.6783333325</v>
      </c>
      <c r="P36" s="7">
        <f t="shared" si="3"/>
        <v>35744870.349999979</v>
      </c>
      <c r="Q36" s="164">
        <f t="shared" si="4"/>
        <v>1389117.15</v>
      </c>
      <c r="R36" s="29">
        <f t="shared" si="2"/>
        <v>1073.102945085252</v>
      </c>
      <c r="S36" s="5">
        <f>SUM($Q$7:$Q36)/T36</f>
        <v>1359224.3833333326</v>
      </c>
      <c r="T36" s="18">
        <v>30</v>
      </c>
      <c r="V36" s="137"/>
      <c r="W36" s="105">
        <v>-1273698</v>
      </c>
      <c r="X36" s="167"/>
      <c r="Y36" s="156">
        <f>Y35-K36-L36+1</f>
        <v>-1274698</v>
      </c>
      <c r="Z36" s="167"/>
      <c r="AD36" s="1"/>
      <c r="AE36" s="1"/>
    </row>
    <row r="37" spans="2:31">
      <c r="B37" s="116">
        <v>43392</v>
      </c>
      <c r="C37" s="14" t="str">
        <f t="shared" si="0"/>
        <v/>
      </c>
      <c r="D37" s="87"/>
      <c r="E37" s="87">
        <v>24</v>
      </c>
      <c r="F37" s="23">
        <v>-619664</v>
      </c>
      <c r="G37" s="26">
        <f>D37+E37+F37-E36-F36-6000</f>
        <v>-7708</v>
      </c>
      <c r="H37" s="132">
        <v>-17400</v>
      </c>
      <c r="I37" s="25">
        <v>15400</v>
      </c>
      <c r="J37" s="25">
        <v>300</v>
      </c>
      <c r="K37" s="63">
        <f>SUM(H37:J37)</f>
        <v>-1700</v>
      </c>
      <c r="L37" s="150">
        <v>-47</v>
      </c>
      <c r="M37" s="153"/>
      <c r="N37" s="149">
        <f>L37+K37+G37+M37+2</f>
        <v>-9453</v>
      </c>
      <c r="O37" s="67">
        <f t="shared" si="1"/>
        <v>1193479.6290322572</v>
      </c>
      <c r="P37" s="7">
        <f t="shared" si="3"/>
        <v>36997868.499999978</v>
      </c>
      <c r="Q37" s="164">
        <f>Q36+N37-3</f>
        <v>1379661.15</v>
      </c>
      <c r="R37" s="29">
        <f t="shared" si="2"/>
        <v>1073.624210598965</v>
      </c>
      <c r="S37" s="5">
        <f>SUM($Q$7:$Q37)/T37+1</f>
        <v>1359884.633870967</v>
      </c>
      <c r="T37" s="18">
        <v>31</v>
      </c>
      <c r="U37" s="27"/>
      <c r="V37" s="137"/>
      <c r="W37" s="105">
        <v>-1265951</v>
      </c>
      <c r="X37" s="167"/>
      <c r="Y37" s="156">
        <f t="shared" si="5"/>
        <v>-1272951</v>
      </c>
      <c r="Z37" s="167"/>
      <c r="AA37" s="92"/>
      <c r="AD37" s="1"/>
      <c r="AE37" s="1"/>
    </row>
    <row r="38" spans="2:31">
      <c r="B38" s="116">
        <v>43393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1195339.5828124993</v>
      </c>
      <c r="P38" s="7">
        <f t="shared" si="3"/>
        <v>38250866.649999976</v>
      </c>
      <c r="Q38" s="164">
        <f t="shared" si="4"/>
        <v>1379661.15</v>
      </c>
      <c r="R38" s="29">
        <f t="shared" si="2"/>
        <v>1074.1113673685284</v>
      </c>
      <c r="S38" s="5">
        <f>SUM($Q$7:$Q38)/T38</f>
        <v>1360501.6812499992</v>
      </c>
      <c r="T38" s="18">
        <v>32</v>
      </c>
      <c r="U38" s="27"/>
      <c r="V38" s="137"/>
      <c r="W38" s="105">
        <v>-1265951</v>
      </c>
      <c r="X38" s="167"/>
      <c r="Y38" s="156">
        <f t="shared" si="5"/>
        <v>-1272951</v>
      </c>
      <c r="Z38" s="167"/>
      <c r="AD38" s="1"/>
      <c r="AE38" s="1"/>
    </row>
    <row r="39" spans="2:31">
      <c r="B39" s="116">
        <v>43394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1197086.8121212113</v>
      </c>
      <c r="P39" s="7">
        <f t="shared" si="3"/>
        <v>39503864.799999975</v>
      </c>
      <c r="Q39" s="164">
        <f t="shared" si="4"/>
        <v>1379661.15</v>
      </c>
      <c r="R39" s="29">
        <f t="shared" si="2"/>
        <v>1074.5713201267301</v>
      </c>
      <c r="S39" s="5">
        <f>SUM($Q$7:$Q39)/T39+2</f>
        <v>1361084.2712121203</v>
      </c>
      <c r="T39" s="18">
        <v>33</v>
      </c>
      <c r="U39" s="27"/>
      <c r="V39" s="137"/>
      <c r="W39" s="105">
        <v>-1265951</v>
      </c>
      <c r="X39" s="167"/>
      <c r="Y39" s="156">
        <f t="shared" si="5"/>
        <v>-1272951</v>
      </c>
      <c r="Z39" s="167"/>
      <c r="AD39" s="1"/>
      <c r="AE39" s="1"/>
    </row>
    <row r="40" spans="2:31">
      <c r="B40" s="116">
        <v>43395</v>
      </c>
      <c r="C40" s="14" t="str">
        <f t="shared" si="0"/>
        <v/>
      </c>
      <c r="D40" s="87"/>
      <c r="E40" s="87">
        <v>1</v>
      </c>
      <c r="F40" s="23">
        <v>-618044</v>
      </c>
      <c r="G40" s="26">
        <f>D40+E40+F40-E37-F37</f>
        <v>1597</v>
      </c>
      <c r="H40" s="132">
        <v>-300</v>
      </c>
      <c r="I40" s="25">
        <v>-2500</v>
      </c>
      <c r="J40" s="25">
        <v>-200</v>
      </c>
      <c r="K40" s="63">
        <f t="shared" ref="K40:K44" si="9">SUM(H40:J40)</f>
        <v>-3000</v>
      </c>
      <c r="L40" s="150">
        <v>18</v>
      </c>
      <c r="M40" s="153"/>
      <c r="N40" s="149">
        <f t="shared" si="6"/>
        <v>-1385</v>
      </c>
      <c r="O40" s="67">
        <f t="shared" si="1"/>
        <v>1198690.5279411757</v>
      </c>
      <c r="P40" s="7">
        <f t="shared" si="3"/>
        <v>40755477.949999973</v>
      </c>
      <c r="Q40" s="164">
        <f t="shared" si="4"/>
        <v>1378276.15</v>
      </c>
      <c r="R40" s="29">
        <f t="shared" si="2"/>
        <v>1074.9689913624429</v>
      </c>
      <c r="S40" s="5">
        <f>SUM($Q$7:$Q40)/T40</f>
        <v>1361587.973529411</v>
      </c>
      <c r="T40" s="18">
        <v>34</v>
      </c>
      <c r="U40" s="138">
        <f>B40</f>
        <v>43395</v>
      </c>
      <c r="V40" s="131" t="s">
        <v>233</v>
      </c>
      <c r="W40" s="105">
        <v>-1268969</v>
      </c>
      <c r="X40" s="167">
        <f>AVERAGE(W40:W48)</f>
        <v>-1265579.111111111</v>
      </c>
      <c r="Y40" s="156">
        <f t="shared" si="5"/>
        <v>-1269969</v>
      </c>
      <c r="Z40" s="167">
        <f>AVERAGE(Y40:Y48)</f>
        <v>-1270334.6666666667</v>
      </c>
      <c r="AD40" s="1"/>
      <c r="AE40" s="1"/>
    </row>
    <row r="41" spans="2:31">
      <c r="B41" s="116">
        <v>43396</v>
      </c>
      <c r="C41" s="14" t="str">
        <f t="shared" si="0"/>
        <v/>
      </c>
      <c r="D41" s="87"/>
      <c r="E41" s="87">
        <v>8</v>
      </c>
      <c r="F41" s="23">
        <v>-608951</v>
      </c>
      <c r="G41" s="26">
        <f>D41+E41+F41-E40-F40</f>
        <v>9100</v>
      </c>
      <c r="H41" s="132">
        <v>-2800</v>
      </c>
      <c r="I41" s="25">
        <v>700</v>
      </c>
      <c r="J41" s="25">
        <v>-300</v>
      </c>
      <c r="K41" s="63">
        <f t="shared" si="9"/>
        <v>-2400</v>
      </c>
      <c r="L41" s="150">
        <v>-7</v>
      </c>
      <c r="M41" s="153"/>
      <c r="N41" s="149">
        <f>L41+K41+G41+M41</f>
        <v>6693</v>
      </c>
      <c r="O41" s="67">
        <f t="shared" si="1"/>
        <v>1200393.8314285707</v>
      </c>
      <c r="P41" s="7">
        <f t="shared" si="3"/>
        <v>42013784.099999972</v>
      </c>
      <c r="Q41" s="164">
        <f t="shared" si="4"/>
        <v>1384969.15</v>
      </c>
      <c r="R41" s="29">
        <f t="shared" si="2"/>
        <v>1075.4979805806402</v>
      </c>
      <c r="S41" s="5">
        <f>SUM($Q$7:$Q41)/T41+2</f>
        <v>1362258.0071428563</v>
      </c>
      <c r="T41" s="18">
        <v>35</v>
      </c>
      <c r="U41" s="138">
        <f>B42+6</f>
        <v>43403</v>
      </c>
      <c r="V41" s="131">
        <v>1341.1</v>
      </c>
      <c r="W41" s="105">
        <v>-1260562</v>
      </c>
      <c r="X41" s="167"/>
      <c r="Y41" s="156">
        <f>Y40-K41-L41</f>
        <v>-1267562</v>
      </c>
      <c r="Z41" s="167"/>
      <c r="AD41" s="1"/>
      <c r="AE41" s="1"/>
    </row>
    <row r="42" spans="2:31">
      <c r="B42" s="116">
        <v>43397</v>
      </c>
      <c r="C42" s="14" t="str">
        <f t="shared" si="0"/>
        <v/>
      </c>
      <c r="D42" s="87">
        <f>-7860+7683</f>
        <v>-177</v>
      </c>
      <c r="E42" s="87">
        <v>10</v>
      </c>
      <c r="F42" s="23">
        <v>-597677</v>
      </c>
      <c r="G42" s="26">
        <f>D42+E42+F42-E41-F41</f>
        <v>11099</v>
      </c>
      <c r="H42" s="132">
        <v>700</v>
      </c>
      <c r="I42" s="25">
        <v>-600</v>
      </c>
      <c r="J42" s="25">
        <v>-300</v>
      </c>
      <c r="K42" s="63">
        <f t="shared" si="9"/>
        <v>-200</v>
      </c>
      <c r="L42" s="150">
        <v>-11</v>
      </c>
      <c r="M42" s="153"/>
      <c r="N42" s="149">
        <f>L42+K42+G42+M42</f>
        <v>10888</v>
      </c>
      <c r="O42" s="67">
        <f t="shared" si="1"/>
        <v>1202304.9791666658</v>
      </c>
      <c r="P42" s="7">
        <f t="shared" si="3"/>
        <v>43282979.24999997</v>
      </c>
      <c r="Q42" s="164">
        <f>Q41+N42+1</f>
        <v>1395858.15</v>
      </c>
      <c r="R42" s="29">
        <f t="shared" si="2"/>
        <v>1076.23173302385</v>
      </c>
      <c r="S42" s="5">
        <f>SUM($Q$7:$Q42)/T42-2</f>
        <v>1363187.3999999992</v>
      </c>
      <c r="T42" s="18">
        <v>36</v>
      </c>
      <c r="V42" s="131"/>
      <c r="W42" s="105">
        <v>-1260351</v>
      </c>
      <c r="X42" s="167"/>
      <c r="Y42" s="156">
        <f t="shared" si="5"/>
        <v>-1267351</v>
      </c>
      <c r="Z42" s="167"/>
      <c r="AA42" s="92"/>
      <c r="AD42" s="1"/>
      <c r="AE42" s="1"/>
    </row>
    <row r="43" spans="2:31">
      <c r="B43" s="116">
        <v>43398</v>
      </c>
      <c r="C43" s="14" t="str">
        <f t="shared" si="0"/>
        <v/>
      </c>
      <c r="D43" s="87"/>
      <c r="E43" s="87">
        <v>234</v>
      </c>
      <c r="F43" s="23">
        <v>-585666</v>
      </c>
      <c r="G43" s="26">
        <f>D43+E43+F43-E42-F42</f>
        <v>12235</v>
      </c>
      <c r="H43" s="132">
        <v>700</v>
      </c>
      <c r="I43" s="25">
        <v>7000</v>
      </c>
      <c r="J43" s="25">
        <v>-300</v>
      </c>
      <c r="K43" s="63">
        <f t="shared" si="9"/>
        <v>7400</v>
      </c>
      <c r="L43" s="150">
        <v>-4</v>
      </c>
      <c r="M43" s="153"/>
      <c r="N43" s="149">
        <f t="shared" si="6"/>
        <v>19631</v>
      </c>
      <c r="O43" s="67">
        <f t="shared" si="1"/>
        <v>1204643.3621621614</v>
      </c>
      <c r="P43" s="7">
        <f t="shared" si="3"/>
        <v>44571804.399999969</v>
      </c>
      <c r="Q43" s="164">
        <f>Q42+N43-1</f>
        <v>1415488.15</v>
      </c>
      <c r="R43" s="29">
        <f t="shared" si="2"/>
        <v>1077.3484598736245</v>
      </c>
      <c r="S43" s="5">
        <f>SUM($Q$7:$Q43)/T43-1</f>
        <v>1364601.8797297289</v>
      </c>
      <c r="T43" s="18">
        <v>37</v>
      </c>
      <c r="V43" s="137"/>
      <c r="W43" s="105">
        <v>-1267747</v>
      </c>
      <c r="X43" s="167"/>
      <c r="Y43" s="156">
        <f t="shared" si="5"/>
        <v>-1274747</v>
      </c>
      <c r="Z43" s="167"/>
      <c r="AA43" s="92"/>
      <c r="AD43" s="1"/>
      <c r="AE43" s="1"/>
    </row>
    <row r="44" spans="2:31">
      <c r="B44" s="116">
        <v>43399</v>
      </c>
      <c r="C44" s="14" t="str">
        <f t="shared" si="0"/>
        <v/>
      </c>
      <c r="D44" s="87"/>
      <c r="E44" s="87">
        <v>248</v>
      </c>
      <c r="F44" s="23">
        <v>-591525</v>
      </c>
      <c r="G44" s="26">
        <f>D44+E44+F44-E43-F43</f>
        <v>-5845</v>
      </c>
      <c r="H44" s="132">
        <v>700</v>
      </c>
      <c r="I44" s="25">
        <v>-4600</v>
      </c>
      <c r="J44" s="25">
        <v>-300</v>
      </c>
      <c r="K44" s="63">
        <f t="shared" si="9"/>
        <v>-4200</v>
      </c>
      <c r="L44" s="150">
        <v>19</v>
      </c>
      <c r="M44" s="153"/>
      <c r="N44" s="149">
        <f t="shared" si="6"/>
        <v>-10026</v>
      </c>
      <c r="O44" s="67">
        <f t="shared" si="1"/>
        <v>1206594.8302631571</v>
      </c>
      <c r="P44" s="7">
        <f t="shared" si="3"/>
        <v>45850603.549999967</v>
      </c>
      <c r="Q44" s="164">
        <f>Q43+N44</f>
        <v>1405462.15</v>
      </c>
      <c r="R44" s="29">
        <f t="shared" si="2"/>
        <v>1078.1973612532543</v>
      </c>
      <c r="S44" s="5">
        <f>SUM($Q$7:$Q44)/T44-1</f>
        <v>1365677.1236842095</v>
      </c>
      <c r="T44" s="18">
        <v>38</v>
      </c>
      <c r="U44" s="27"/>
      <c r="V44" s="137"/>
      <c r="W44" s="105">
        <v>-1263566</v>
      </c>
      <c r="X44" s="167"/>
      <c r="Y44" s="156">
        <f t="shared" si="5"/>
        <v>-1270566</v>
      </c>
      <c r="Z44" s="167"/>
      <c r="AA44" s="92"/>
      <c r="AD44" s="1"/>
      <c r="AE44" s="1"/>
    </row>
    <row r="45" spans="2:31">
      <c r="B45" s="116">
        <v>43400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1208446.2230769221</v>
      </c>
      <c r="P45" s="7">
        <f t="shared" si="3"/>
        <v>47129402.699999966</v>
      </c>
      <c r="Q45" s="164">
        <f t="shared" si="4"/>
        <v>1405462.15</v>
      </c>
      <c r="R45" s="29">
        <f t="shared" si="2"/>
        <v>1079.0035187253388</v>
      </c>
      <c r="S45" s="5">
        <f>SUM($Q$7:$Q45)/T45</f>
        <v>1366698.226923076</v>
      </c>
      <c r="T45" s="18">
        <v>39</v>
      </c>
      <c r="U45" s="27"/>
      <c r="V45" s="137"/>
      <c r="W45" s="105">
        <v>-1263566</v>
      </c>
      <c r="X45" s="167"/>
      <c r="Y45" s="156">
        <f t="shared" si="5"/>
        <v>-1270566</v>
      </c>
      <c r="Z45" s="167"/>
      <c r="AD45" s="1"/>
      <c r="AE45" s="1"/>
    </row>
    <row r="46" spans="2:31">
      <c r="B46" s="116">
        <v>43401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1210205.0462499992</v>
      </c>
      <c r="P46" s="7">
        <f t="shared" si="3"/>
        <v>48408201.849999964</v>
      </c>
      <c r="Q46" s="164">
        <f t="shared" si="4"/>
        <v>1405462.15</v>
      </c>
      <c r="R46" s="29">
        <f t="shared" si="2"/>
        <v>1079.7686183021081</v>
      </c>
      <c r="S46" s="5">
        <f>SUM($Q$7:$Q46)/T46</f>
        <v>1367667.324999999</v>
      </c>
      <c r="T46" s="18">
        <v>40</v>
      </c>
      <c r="U46" s="27"/>
      <c r="V46" s="137"/>
      <c r="W46" s="105">
        <v>-1263566</v>
      </c>
      <c r="X46" s="167"/>
      <c r="Y46" s="156">
        <f t="shared" si="5"/>
        <v>-1270566</v>
      </c>
      <c r="Z46" s="167"/>
      <c r="AD46" s="1"/>
      <c r="AE46" s="1"/>
    </row>
    <row r="47" spans="2:31">
      <c r="B47" s="116">
        <v>43402</v>
      </c>
      <c r="C47" s="14" t="str">
        <f t="shared" si="0"/>
        <v/>
      </c>
      <c r="D47" s="87"/>
      <c r="E47" s="87">
        <v>20</v>
      </c>
      <c r="F47" s="23">
        <v>-607308</v>
      </c>
      <c r="G47" s="26">
        <f>D47+E47+F47-E44-F44+7000</f>
        <v>-9011</v>
      </c>
      <c r="H47" s="132">
        <v>700</v>
      </c>
      <c r="I47" s="25">
        <v>8900</v>
      </c>
      <c r="J47" s="25">
        <v>-1000</v>
      </c>
      <c r="K47" s="63">
        <f>SUM(H47:J47)</f>
        <v>8600</v>
      </c>
      <c r="L47" s="150">
        <v>1</v>
      </c>
      <c r="M47" s="153"/>
      <c r="N47" s="149">
        <f t="shared" si="6"/>
        <v>-410</v>
      </c>
      <c r="O47" s="67">
        <f t="shared" si="1"/>
        <v>1211868.0731707308</v>
      </c>
      <c r="P47" s="7">
        <f t="shared" si="3"/>
        <v>49686590.999999963</v>
      </c>
      <c r="Q47" s="164">
        <f>Q46+N47</f>
        <v>1405052.15</v>
      </c>
      <c r="R47" s="29">
        <f t="shared" si="2"/>
        <v>1080.4885009829225</v>
      </c>
      <c r="S47" s="5">
        <f>SUM($Q$7:$Q47)/T47</f>
        <v>1368579.149999999</v>
      </c>
      <c r="T47" s="18">
        <v>41</v>
      </c>
      <c r="U47" s="138"/>
      <c r="V47" s="137"/>
      <c r="W47" s="105">
        <v>-1279367</v>
      </c>
      <c r="X47" s="167"/>
      <c r="Y47" s="156">
        <f t="shared" si="5"/>
        <v>-1279167</v>
      </c>
      <c r="Z47" s="167"/>
      <c r="AD47" s="1"/>
      <c r="AE47" s="1"/>
    </row>
    <row r="48" spans="2:31" ht="13.7" customHeight="1">
      <c r="B48" s="116">
        <v>43403</v>
      </c>
      <c r="C48" s="14" t="str">
        <f t="shared" si="0"/>
        <v/>
      </c>
      <c r="D48" s="87"/>
      <c r="E48" s="87">
        <v>1</v>
      </c>
      <c r="F48" s="23">
        <v>-610028</v>
      </c>
      <c r="G48" s="26">
        <f>D48+E48+F48-E47-F47</f>
        <v>-2739</v>
      </c>
      <c r="H48" s="132">
        <v>-3300</v>
      </c>
      <c r="I48" s="25">
        <v>-12350</v>
      </c>
      <c r="J48" s="25">
        <v>-1000</v>
      </c>
      <c r="K48" s="63">
        <f>SUM(H48:J48)</f>
        <v>-16650</v>
      </c>
      <c r="L48" s="150">
        <v>1</v>
      </c>
      <c r="M48" s="153"/>
      <c r="N48" s="149">
        <f>L48+K48+G48+M48</f>
        <v>-19388</v>
      </c>
      <c r="O48" s="67">
        <f t="shared" si="1"/>
        <v>1212990.2654761896</v>
      </c>
      <c r="P48" s="7">
        <f t="shared" si="3"/>
        <v>50945591.149999961</v>
      </c>
      <c r="Q48" s="164">
        <f>Q47+N48-1</f>
        <v>1385663.15</v>
      </c>
      <c r="R48" s="29">
        <f t="shared" si="2"/>
        <v>1080.8096380985457</v>
      </c>
      <c r="S48" s="5">
        <f>SUM($Q$7:$Q48)/T48</f>
        <v>1368985.9119047609</v>
      </c>
      <c r="T48" s="18">
        <v>42</v>
      </c>
      <c r="U48" s="138"/>
      <c r="V48" s="157"/>
      <c r="W48" s="105">
        <v>-1262518</v>
      </c>
      <c r="X48" s="167"/>
      <c r="Y48" s="156">
        <f t="shared" si="5"/>
        <v>-1262518</v>
      </c>
      <c r="Z48" s="167"/>
      <c r="AA48" s="92"/>
      <c r="AD48" s="1"/>
      <c r="AE48" s="1"/>
    </row>
    <row r="49" spans="2:14" ht="12.75" thickBot="1">
      <c r="B49" s="160"/>
    </row>
    <row r="50" spans="2:14" ht="12.75" thickBot="1">
      <c r="B50" s="19" t="s">
        <v>0</v>
      </c>
      <c r="C50" s="15"/>
      <c r="D50" s="130">
        <f>SUM(D7:D48)</f>
        <v>-10098</v>
      </c>
      <c r="E50" s="75">
        <f>SUM(E7:E48)</f>
        <v>2148</v>
      </c>
      <c r="F50" s="75">
        <f>SUM(F7:F48)</f>
        <v>-18933026</v>
      </c>
      <c r="G50" s="8"/>
      <c r="H50" s="8">
        <f>SUM(H7:H48)</f>
        <v>-27900</v>
      </c>
      <c r="I50" s="8">
        <f>SUM(I7:I48)</f>
        <v>44700</v>
      </c>
      <c r="J50" s="8">
        <f>SUM(J7:J48)</f>
        <v>-5000</v>
      </c>
      <c r="K50" s="8"/>
      <c r="L50" s="8"/>
      <c r="M50" s="8"/>
      <c r="N50" s="68">
        <f>SUM(N7:N35)</f>
        <v>37447</v>
      </c>
    </row>
    <row r="51" spans="2:14" ht="13.5" thickTop="1" thickBot="1">
      <c r="B51" s="31"/>
      <c r="C51" s="30"/>
      <c r="D51" s="141" t="s">
        <v>58</v>
      </c>
      <c r="E51" s="20"/>
      <c r="F51" s="21"/>
      <c r="G51" s="22"/>
      <c r="H51" s="10"/>
      <c r="I51" s="10"/>
      <c r="J51" s="10"/>
      <c r="K51" s="10"/>
      <c r="L51" s="10"/>
      <c r="M51" s="10"/>
      <c r="N51" s="9"/>
    </row>
    <row r="52" spans="2:14">
      <c r="D52" s="27" t="s">
        <v>59</v>
      </c>
      <c r="E52" s="139"/>
      <c r="F52" s="142"/>
      <c r="G52" s="90">
        <v>1335902.1499999999</v>
      </c>
      <c r="H52" s="11"/>
      <c r="I52" s="11"/>
      <c r="J52" s="11"/>
      <c r="K52" s="12"/>
      <c r="L52" s="12"/>
      <c r="M52" s="12"/>
      <c r="N52" s="4"/>
    </row>
    <row r="53" spans="2:14">
      <c r="D53" s="138" t="s">
        <v>4</v>
      </c>
      <c r="E53" s="139"/>
      <c r="F53" s="143"/>
      <c r="G53" s="91">
        <v>119</v>
      </c>
      <c r="H53" s="13"/>
      <c r="I53" s="13"/>
      <c r="J53" s="13"/>
      <c r="K53" s="13"/>
      <c r="L53" s="13"/>
      <c r="M53" s="13"/>
      <c r="N53" s="6"/>
    </row>
    <row r="54" spans="2:14">
      <c r="D54" s="138" t="s">
        <v>60</v>
      </c>
      <c r="E54" s="144"/>
      <c r="F54" s="143"/>
      <c r="G54" s="91">
        <v>-658355</v>
      </c>
      <c r="H54" s="13"/>
      <c r="I54" s="13"/>
      <c r="J54" s="13"/>
      <c r="K54" s="13"/>
      <c r="L54" s="13"/>
      <c r="M54" s="13"/>
      <c r="N54" s="6"/>
    </row>
    <row r="55" spans="2:14" ht="12.75" thickBot="1">
      <c r="D55" s="140" t="s">
        <v>46</v>
      </c>
      <c r="E55" s="145"/>
      <c r="F55" s="146"/>
      <c r="G55" s="158">
        <v>-1250865</v>
      </c>
      <c r="H55" s="13"/>
      <c r="I55" s="13"/>
      <c r="J55" s="13"/>
      <c r="K55" s="13"/>
      <c r="L55" s="13"/>
      <c r="M55" s="95"/>
      <c r="N55" s="6"/>
    </row>
    <row r="56" spans="2:14" ht="12.75" thickTop="1"/>
    <row r="65518" spans="23:23">
      <c r="W65518" s="105"/>
    </row>
    <row r="65525" spans="23:23">
      <c r="W65525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B1:IU6553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5" sqref="B7:B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134135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43768</v>
      </c>
      <c r="C7" s="196" t="str">
        <f t="shared" ref="C7:C48" si="0">IF(OR(WEEKDAY(B7)=1,WEEKDAY(B7)=7),"F","")</f>
        <v/>
      </c>
      <c r="D7" s="197">
        <f>-1070+2236</f>
        <v>1166</v>
      </c>
      <c r="E7" s="197">
        <v>5</v>
      </c>
      <c r="F7" s="198">
        <v>-224905</v>
      </c>
      <c r="G7" s="199">
        <f>D7+E7+F7-G60-G61</f>
        <v>238745</v>
      </c>
      <c r="H7" s="200">
        <v>10200</v>
      </c>
      <c r="I7" s="201">
        <v>-5400</v>
      </c>
      <c r="J7" s="201">
        <v>-1100</v>
      </c>
      <c r="K7" s="168">
        <f t="shared" ref="K7:K9" si="1">+H7+I7+J7</f>
        <v>3700</v>
      </c>
      <c r="L7" s="169">
        <v>-24</v>
      </c>
      <c r="M7" s="203"/>
      <c r="N7" s="204">
        <f>L7+K7+G7+M7</f>
        <v>242421</v>
      </c>
      <c r="O7" s="205">
        <f t="shared" ref="O7:O48" si="2">P7/T7</f>
        <v>1507916.35</v>
      </c>
      <c r="P7" s="206">
        <f>(+$Q7-$Q$3)</f>
        <v>1507916.35</v>
      </c>
      <c r="Q7" s="207">
        <f>G59+N7+1+400+1</f>
        <v>1642051.35</v>
      </c>
      <c r="R7" s="208">
        <f t="shared" ref="R7:R55" si="3">$S7/$Q$3*100</f>
        <v>1224.1781414246841</v>
      </c>
      <c r="S7" s="209">
        <f>$Q7</f>
        <v>1642051.35</v>
      </c>
      <c r="T7" s="210">
        <v>1</v>
      </c>
      <c r="U7" s="211">
        <f>B7</f>
        <v>43768</v>
      </c>
      <c r="V7" s="212" t="s">
        <v>293</v>
      </c>
      <c r="W7" s="213">
        <v>-1200958</v>
      </c>
      <c r="X7" s="214">
        <f>AVERAGE(W7:W15)</f>
        <v>-1245965.5555555555</v>
      </c>
      <c r="Y7" s="215">
        <f>-L7-K7+'Oct 2019'!Y48-400-1</f>
        <v>-1200958</v>
      </c>
      <c r="Z7" s="216">
        <f>AVERAGE(Y7:Y15)</f>
        <v>-1245965.5555555555</v>
      </c>
      <c r="AA7" s="92"/>
    </row>
    <row r="8" spans="2:255">
      <c r="B8" s="116">
        <v>43769</v>
      </c>
      <c r="C8" s="14"/>
      <c r="D8" s="128">
        <f>-790+592</f>
        <v>-198</v>
      </c>
      <c r="E8" s="128">
        <v>220</v>
      </c>
      <c r="F8" s="162">
        <v>-244009</v>
      </c>
      <c r="G8" s="26">
        <f>D8+E8+F8-E7-F7</f>
        <v>-19087</v>
      </c>
      <c r="H8" s="132">
        <v>600</v>
      </c>
      <c r="I8" s="63">
        <v>31900</v>
      </c>
      <c r="J8" s="63">
        <v>-1100</v>
      </c>
      <c r="K8" s="170">
        <f t="shared" si="1"/>
        <v>31400</v>
      </c>
      <c r="L8" s="171">
        <v>12</v>
      </c>
      <c r="M8" s="153"/>
      <c r="N8" s="149">
        <f>L8+K8+G8+M8</f>
        <v>12325</v>
      </c>
      <c r="O8" s="67">
        <f t="shared" si="2"/>
        <v>760120.67500000005</v>
      </c>
      <c r="P8" s="163">
        <f>(IF($Q8&lt;0,-$Q$3+P6,($Q8-$Q$3)+P6))</f>
        <v>1520241.35</v>
      </c>
      <c r="Q8" s="164">
        <f>Q7+N8</f>
        <v>1654376.35</v>
      </c>
      <c r="R8" s="29">
        <f t="shared" si="3"/>
        <v>1228.7723934841765</v>
      </c>
      <c r="S8" s="165">
        <f>SUM($Q$7:$Q8)/T8</f>
        <v>1648213.85</v>
      </c>
      <c r="T8" s="166">
        <v>2</v>
      </c>
      <c r="U8" s="138">
        <f>B7+6</f>
        <v>43774</v>
      </c>
      <c r="V8" s="131">
        <v>1370.8</v>
      </c>
      <c r="W8" s="105">
        <v>-1232370</v>
      </c>
      <c r="X8" s="167"/>
      <c r="Y8" s="156">
        <f>Y7-K8-L8</f>
        <v>-1232370</v>
      </c>
      <c r="Z8" s="217"/>
      <c r="AA8" s="92"/>
    </row>
    <row r="9" spans="2:255">
      <c r="B9" s="116">
        <v>43770</v>
      </c>
      <c r="C9" s="14" t="str">
        <f t="shared" si="0"/>
        <v/>
      </c>
      <c r="D9" s="87"/>
      <c r="E9" s="87">
        <v>18</v>
      </c>
      <c r="F9" s="23">
        <v>-237887</v>
      </c>
      <c r="G9" s="26">
        <f>D9+E9+F9-E8-F8</f>
        <v>5920</v>
      </c>
      <c r="H9" s="132">
        <v>-1000</v>
      </c>
      <c r="I9" s="63">
        <v>4400</v>
      </c>
      <c r="J9" s="63">
        <v>-1200</v>
      </c>
      <c r="K9" s="170">
        <f t="shared" si="1"/>
        <v>2200</v>
      </c>
      <c r="L9" s="171">
        <v>2</v>
      </c>
      <c r="M9" s="153"/>
      <c r="N9" s="149">
        <f>L9+K9+G9+M9</f>
        <v>8122</v>
      </c>
      <c r="O9" s="67">
        <f t="shared" si="2"/>
        <v>1012092.9</v>
      </c>
      <c r="P9" s="7">
        <f>(IF($Q9&lt;0,-$Q$3+P7,($Q9-$Q$3)+P7))</f>
        <v>3036278.7</v>
      </c>
      <c r="Q9" s="164">
        <f>Q8+N9-1</f>
        <v>1662497.35</v>
      </c>
      <c r="R9" s="29">
        <f t="shared" si="3"/>
        <v>1232.3226724320027</v>
      </c>
      <c r="S9" s="5">
        <f>SUM($Q$7:$Q9)/T9+1</f>
        <v>1652976.0166666668</v>
      </c>
      <c r="T9" s="17">
        <v>3</v>
      </c>
      <c r="U9" s="4"/>
      <c r="V9" s="131"/>
      <c r="W9" s="105">
        <v>-1234571</v>
      </c>
      <c r="X9" s="167"/>
      <c r="Y9" s="156">
        <f>Y8-K9-L9+1</f>
        <v>-1234571</v>
      </c>
      <c r="Z9" s="217"/>
      <c r="AA9" s="92"/>
    </row>
    <row r="10" spans="2:255">
      <c r="B10" s="116">
        <v>43771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1141160.2625000002</v>
      </c>
      <c r="P10" s="7">
        <f t="shared" ref="P10:P55" si="4">(IF($Q10&lt;0,-$Q$3+P9,($Q10-$Q$3)+P9))</f>
        <v>4564641.0500000007</v>
      </c>
      <c r="Q10" s="164">
        <f t="shared" ref="Q10:Q32" si="5">Q9+N10</f>
        <v>1662497.35</v>
      </c>
      <c r="R10" s="29">
        <f t="shared" si="3"/>
        <v>1234.0959481119767</v>
      </c>
      <c r="S10" s="5">
        <f>SUM($Q$7:$Q10)/T10-1</f>
        <v>1655354.6</v>
      </c>
      <c r="T10" s="17">
        <v>4</v>
      </c>
      <c r="U10" s="27"/>
      <c r="V10" s="133"/>
      <c r="W10" s="105">
        <v>-1234571</v>
      </c>
      <c r="X10" s="167"/>
      <c r="Y10" s="156">
        <f>Y9-K10-L10</f>
        <v>-1234571</v>
      </c>
      <c r="Z10" s="217"/>
      <c r="AA10" s="92"/>
    </row>
    <row r="11" spans="2:255">
      <c r="B11" s="116">
        <v>43772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1218600.6800000002</v>
      </c>
      <c r="P11" s="7">
        <f t="shared" si="4"/>
        <v>6093003.4000000004</v>
      </c>
      <c r="Q11" s="164">
        <f t="shared" si="5"/>
        <v>1662497.35</v>
      </c>
      <c r="R11" s="29">
        <f t="shared" si="3"/>
        <v>1235.1615536586276</v>
      </c>
      <c r="S11" s="5">
        <f>SUM($Q$7:$Q11)/T11</f>
        <v>1656783.95</v>
      </c>
      <c r="T11" s="17">
        <v>5</v>
      </c>
      <c r="U11" s="27"/>
      <c r="V11" s="134"/>
      <c r="W11" s="105">
        <v>-1234571</v>
      </c>
      <c r="X11" s="167"/>
      <c r="Y11" s="156">
        <f t="shared" ref="Y11:Y39" si="7">Y10-K11-L11</f>
        <v>-1234571</v>
      </c>
      <c r="Z11" s="217"/>
      <c r="AA11" s="92"/>
    </row>
    <row r="12" spans="2:255">
      <c r="B12" s="116">
        <v>43773</v>
      </c>
      <c r="C12" s="14" t="str">
        <f t="shared" si="0"/>
        <v/>
      </c>
      <c r="D12" s="87"/>
      <c r="E12" s="161">
        <v>0</v>
      </c>
      <c r="F12" s="23">
        <v>-238340</v>
      </c>
      <c r="G12" s="26">
        <f>D12+E12+F12-E9-F9</f>
        <v>-471</v>
      </c>
      <c r="H12" s="132">
        <v>8700</v>
      </c>
      <c r="I12" s="63">
        <v>20200</v>
      </c>
      <c r="J12" s="63">
        <v>300</v>
      </c>
      <c r="K12" s="170">
        <f t="shared" ref="K12:K48" si="8">+H12+I12+J12</f>
        <v>29200</v>
      </c>
      <c r="L12" s="171">
        <v>-50</v>
      </c>
      <c r="M12" s="153"/>
      <c r="N12" s="149">
        <f t="shared" si="6"/>
        <v>28679</v>
      </c>
      <c r="O12" s="67">
        <f t="shared" si="2"/>
        <v>1275016.9583333333</v>
      </c>
      <c r="P12" s="7">
        <f t="shared" si="4"/>
        <v>7650101.75</v>
      </c>
      <c r="Q12" s="164">
        <f>Q11+N12+57</f>
        <v>1691233.35</v>
      </c>
      <c r="R12" s="29">
        <f t="shared" si="3"/>
        <v>1239.4419925199736</v>
      </c>
      <c r="S12" s="5">
        <f>SUM($Q$7:$Q12)/T12</f>
        <v>1662525.5166666666</v>
      </c>
      <c r="T12" s="17">
        <v>6</v>
      </c>
      <c r="U12" s="138">
        <f>B12</f>
        <v>43773</v>
      </c>
      <c r="V12" s="131" t="s">
        <v>295</v>
      </c>
      <c r="W12" s="105">
        <v>-1263720</v>
      </c>
      <c r="X12" s="167">
        <f>AVERAGE(W12:W20)</f>
        <v>-1276502.888888889</v>
      </c>
      <c r="Y12" s="156">
        <f>Y11-K12-L12+1</f>
        <v>-1263720</v>
      </c>
      <c r="Z12" s="217">
        <f>AVERAGE(Y12:Y20)</f>
        <v>-1276502.888888889</v>
      </c>
      <c r="AA12" s="92"/>
    </row>
    <row r="13" spans="2:255">
      <c r="B13" s="116">
        <v>43774</v>
      </c>
      <c r="C13" s="14"/>
      <c r="D13" s="87"/>
      <c r="E13" s="87">
        <v>0</v>
      </c>
      <c r="F13" s="23">
        <v>-241478</v>
      </c>
      <c r="G13" s="26">
        <f>D13+E13+F13-E12-F12</f>
        <v>-3138</v>
      </c>
      <c r="H13" s="132">
        <v>700</v>
      </c>
      <c r="I13" s="63">
        <v>1600</v>
      </c>
      <c r="J13" s="63">
        <v>300</v>
      </c>
      <c r="K13" s="170">
        <f t="shared" si="8"/>
        <v>2600</v>
      </c>
      <c r="L13" s="171">
        <v>-18</v>
      </c>
      <c r="M13" s="153"/>
      <c r="N13" s="149">
        <f t="shared" si="6"/>
        <v>-556</v>
      </c>
      <c r="O13" s="67">
        <f t="shared" si="2"/>
        <v>1315226.5857142857</v>
      </c>
      <c r="P13" s="7">
        <f>(IF($Q13&lt;0,-$Q$3+P12,($Q13-$Q$3)+P12))</f>
        <v>9206586.0999999996</v>
      </c>
      <c r="Q13" s="164">
        <f>Q12+N13-58</f>
        <v>1690619.35</v>
      </c>
      <c r="R13" s="29">
        <f t="shared" si="3"/>
        <v>1242.4340563078774</v>
      </c>
      <c r="S13" s="5">
        <f>SUM($Q$7:$Q13)/T13</f>
        <v>1666538.9214285712</v>
      </c>
      <c r="T13" s="17">
        <v>7</v>
      </c>
      <c r="U13" s="138">
        <f>B14+6</f>
        <v>43781</v>
      </c>
      <c r="V13" s="249">
        <v>1327.3</v>
      </c>
      <c r="W13" s="105">
        <v>-1266302</v>
      </c>
      <c r="X13" s="167"/>
      <c r="Y13" s="156">
        <f>Y12-K13-L13</f>
        <v>-1266302</v>
      </c>
      <c r="Z13" s="217"/>
      <c r="AA13" s="92"/>
      <c r="AB13" s="92"/>
    </row>
    <row r="14" spans="2:255">
      <c r="B14" s="116">
        <v>43775</v>
      </c>
      <c r="C14" s="14"/>
      <c r="D14" s="87">
        <f>-2236+1560</f>
        <v>-676</v>
      </c>
      <c r="E14" s="87">
        <v>13</v>
      </c>
      <c r="F14" s="23">
        <v>-238971</v>
      </c>
      <c r="G14" s="26">
        <f>D14+E14+F14-E13-F13</f>
        <v>1844</v>
      </c>
      <c r="H14" s="132">
        <v>700</v>
      </c>
      <c r="I14" s="63">
        <v>5800</v>
      </c>
      <c r="J14" s="63">
        <v>300</v>
      </c>
      <c r="K14" s="170">
        <f t="shared" si="8"/>
        <v>6800</v>
      </c>
      <c r="L14" s="171">
        <v>-26</v>
      </c>
      <c r="M14" s="154"/>
      <c r="N14" s="149">
        <f>L14+K14+G14+M14</f>
        <v>8618</v>
      </c>
      <c r="O14" s="67">
        <f t="shared" si="2"/>
        <v>1346460.9312499999</v>
      </c>
      <c r="P14" s="7">
        <f t="shared" si="4"/>
        <v>10771687.449999999</v>
      </c>
      <c r="Q14" s="164">
        <f>Q13+N14-1</f>
        <v>1699236.35</v>
      </c>
      <c r="R14" s="29">
        <f t="shared" si="3"/>
        <v>1245.481865284974</v>
      </c>
      <c r="S14" s="5">
        <f>SUM($Q$7:$Q14)/T14+1</f>
        <v>1670627.0999999999</v>
      </c>
      <c r="T14" s="17">
        <v>8</v>
      </c>
      <c r="U14" s="4"/>
      <c r="V14" s="4"/>
      <c r="W14" s="105">
        <v>-1273075</v>
      </c>
      <c r="X14" s="167"/>
      <c r="Y14" s="156">
        <f>Y13-K14-L14+1</f>
        <v>-1273075</v>
      </c>
      <c r="Z14" s="217"/>
      <c r="AA14" s="92"/>
    </row>
    <row r="15" spans="2:255">
      <c r="B15" s="116">
        <v>43776</v>
      </c>
      <c r="C15" s="14" t="str">
        <f t="shared" si="0"/>
        <v/>
      </c>
      <c r="D15" s="87"/>
      <c r="E15" s="87">
        <v>0</v>
      </c>
      <c r="F15" s="23">
        <v>-230262</v>
      </c>
      <c r="G15" s="26">
        <f>D15+E15+F15-E14-F14</f>
        <v>8696</v>
      </c>
      <c r="H15" s="132">
        <v>700</v>
      </c>
      <c r="I15" s="63">
        <v>-400</v>
      </c>
      <c r="J15" s="63">
        <v>200</v>
      </c>
      <c r="K15" s="170">
        <f t="shared" si="8"/>
        <v>500</v>
      </c>
      <c r="L15" s="172">
        <v>-24</v>
      </c>
      <c r="M15" s="153"/>
      <c r="N15" s="149">
        <f>L15+K15+G15+M15</f>
        <v>9172</v>
      </c>
      <c r="O15" s="67">
        <f t="shared" si="2"/>
        <v>1371773.5333333332</v>
      </c>
      <c r="P15" s="7">
        <f t="shared" si="4"/>
        <v>12345961.799999999</v>
      </c>
      <c r="Q15" s="164">
        <f>Q14+N15+1</f>
        <v>1708409.35</v>
      </c>
      <c r="R15" s="29">
        <f t="shared" si="3"/>
        <v>1248.6109060937777</v>
      </c>
      <c r="S15" s="5">
        <f>SUM($Q$7:$Q15)/T15</f>
        <v>1674824.2388888886</v>
      </c>
      <c r="T15" s="17">
        <v>9</v>
      </c>
      <c r="U15" s="4"/>
      <c r="V15" s="4"/>
      <c r="W15" s="105">
        <v>-1273552</v>
      </c>
      <c r="X15" s="167"/>
      <c r="Y15" s="156">
        <f>Y14-K15-L15-1</f>
        <v>-1273552</v>
      </c>
      <c r="Z15" s="217"/>
      <c r="AA15" s="92"/>
      <c r="AB15" s="92"/>
    </row>
    <row r="16" spans="2:255" s="69" customFormat="1">
      <c r="B16" s="116">
        <v>43777</v>
      </c>
      <c r="C16" s="14" t="str">
        <f t="shared" si="0"/>
        <v/>
      </c>
      <c r="D16" s="129"/>
      <c r="E16" s="87">
        <v>35</v>
      </c>
      <c r="F16" s="23">
        <v>-255781</v>
      </c>
      <c r="G16" s="26">
        <f>D16+E16+F16-E15-F15</f>
        <v>-25484</v>
      </c>
      <c r="H16" s="132">
        <v>700</v>
      </c>
      <c r="I16" s="63">
        <v>9600</v>
      </c>
      <c r="J16" s="63">
        <v>200</v>
      </c>
      <c r="K16" s="170">
        <f t="shared" si="8"/>
        <v>10500</v>
      </c>
      <c r="L16" s="172">
        <v>31</v>
      </c>
      <c r="M16" s="153"/>
      <c r="N16" s="152">
        <f>L16+K16+G16+M16</f>
        <v>-14953</v>
      </c>
      <c r="O16" s="67">
        <f t="shared" si="2"/>
        <v>1390528.5149999999</v>
      </c>
      <c r="P16" s="70">
        <f t="shared" si="4"/>
        <v>13905285.149999999</v>
      </c>
      <c r="Q16" s="164">
        <f>Q15+N16+1+1</f>
        <v>1693458.35</v>
      </c>
      <c r="R16" s="71">
        <f t="shared" si="3"/>
        <v>1250.0001118276361</v>
      </c>
      <c r="S16" s="72">
        <f>SUM($Q$7:$Q16)/T16</f>
        <v>1676687.65</v>
      </c>
      <c r="T16" s="73">
        <v>10</v>
      </c>
      <c r="U16" s="218"/>
      <c r="V16" s="133"/>
      <c r="W16" s="105">
        <v>-1284084</v>
      </c>
      <c r="X16" s="167"/>
      <c r="Y16" s="156">
        <f>Y15-K16-L16-1</f>
        <v>-1284084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43778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1405873.4999999998</v>
      </c>
      <c r="P17" s="7">
        <f t="shared" si="4"/>
        <v>15464608.499999998</v>
      </c>
      <c r="Q17" s="164">
        <f t="shared" si="5"/>
        <v>1693458.35</v>
      </c>
      <c r="R17" s="29">
        <f t="shared" si="3"/>
        <v>1251.1367347007931</v>
      </c>
      <c r="S17" s="5">
        <f>SUM($Q$7:$Q17)/T17</f>
        <v>1678212.2590909088</v>
      </c>
      <c r="T17" s="18">
        <v>11</v>
      </c>
      <c r="U17" s="27"/>
      <c r="V17" s="136"/>
      <c r="W17" s="105">
        <v>-1284084</v>
      </c>
      <c r="X17" s="167"/>
      <c r="Y17" s="156">
        <f t="shared" si="7"/>
        <v>-1284084</v>
      </c>
      <c r="Z17" s="217"/>
      <c r="AA17" s="92"/>
      <c r="AC17" s="92"/>
    </row>
    <row r="18" spans="2:31">
      <c r="B18" s="116">
        <v>43779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1418660.9874999998</v>
      </c>
      <c r="P18" s="7">
        <f t="shared" si="4"/>
        <v>17023931.849999998</v>
      </c>
      <c r="Q18" s="164">
        <f t="shared" si="5"/>
        <v>1693458.35</v>
      </c>
      <c r="R18" s="29">
        <f t="shared" si="3"/>
        <v>1252.0831749108486</v>
      </c>
      <c r="S18" s="5">
        <f>SUM($Q$7:$Q18)/T18-1</f>
        <v>1679481.7666666666</v>
      </c>
      <c r="T18" s="18">
        <v>12</v>
      </c>
      <c r="U18" s="27"/>
      <c r="V18" s="136"/>
      <c r="W18" s="105">
        <v>-1284084</v>
      </c>
      <c r="X18" s="167"/>
      <c r="Y18" s="156">
        <f t="shared" si="7"/>
        <v>-1284084</v>
      </c>
      <c r="Z18" s="217"/>
      <c r="AA18" s="92"/>
    </row>
    <row r="19" spans="2:31">
      <c r="B19" s="116">
        <v>43780</v>
      </c>
      <c r="C19" s="14" t="str">
        <f t="shared" si="0"/>
        <v/>
      </c>
      <c r="D19" s="87"/>
      <c r="E19" s="87">
        <v>46</v>
      </c>
      <c r="F19" s="23">
        <v>-250378</v>
      </c>
      <c r="G19" s="26">
        <f>D19+E19+F19-E16-F16</f>
        <v>5414</v>
      </c>
      <c r="H19" s="132">
        <v>500</v>
      </c>
      <c r="I19" s="25">
        <v>-3900</v>
      </c>
      <c r="J19" s="63">
        <v>200</v>
      </c>
      <c r="K19" s="170">
        <f t="shared" si="8"/>
        <v>-3200</v>
      </c>
      <c r="L19" s="171">
        <v>10</v>
      </c>
      <c r="M19" s="153"/>
      <c r="N19" s="149">
        <f t="shared" si="6"/>
        <v>2224</v>
      </c>
      <c r="O19" s="67">
        <f t="shared" si="2"/>
        <v>1429652.1692307692</v>
      </c>
      <c r="P19" s="7">
        <f t="shared" si="4"/>
        <v>18585478.199999999</v>
      </c>
      <c r="Q19" s="164">
        <f>Q18+N19-1</f>
        <v>1695681.35</v>
      </c>
      <c r="R19" s="29">
        <f t="shared" si="3"/>
        <v>1253.0128687803046</v>
      </c>
      <c r="S19" s="5">
        <f>SUM($Q$7:$Q19)/T19</f>
        <v>1680728.8115384616</v>
      </c>
      <c r="T19" s="18">
        <v>13</v>
      </c>
      <c r="U19" s="138">
        <f>B19</f>
        <v>43780</v>
      </c>
      <c r="V19" s="131" t="s">
        <v>296</v>
      </c>
      <c r="W19" s="105">
        <v>-1280894</v>
      </c>
      <c r="X19" s="167">
        <f>AVERAGE(W19:W27)</f>
        <v>-1256175.7777777778</v>
      </c>
      <c r="Y19" s="156">
        <f t="shared" si="7"/>
        <v>-1280894</v>
      </c>
      <c r="Z19" s="217">
        <f>AVERAGE(Y19:Y27)</f>
        <v>-1256175.7777777778</v>
      </c>
      <c r="AA19" s="92"/>
    </row>
    <row r="20" spans="2:31">
      <c r="B20" s="116">
        <v>43781</v>
      </c>
      <c r="C20" s="14"/>
      <c r="D20" s="87"/>
      <c r="E20" s="87">
        <v>17</v>
      </c>
      <c r="F20" s="23">
        <v>-252585</v>
      </c>
      <c r="G20" s="26">
        <f>D20+E20+F20-E19-F19</f>
        <v>-2236</v>
      </c>
      <c r="H20" s="132">
        <v>500</v>
      </c>
      <c r="I20" s="25">
        <v>-2800</v>
      </c>
      <c r="J20" s="63">
        <v>100</v>
      </c>
      <c r="K20" s="170">
        <f t="shared" si="8"/>
        <v>-2200</v>
      </c>
      <c r="L20" s="171">
        <v>37</v>
      </c>
      <c r="M20" s="153"/>
      <c r="N20" s="149">
        <f t="shared" si="6"/>
        <v>-4399</v>
      </c>
      <c r="O20" s="67">
        <f t="shared" si="2"/>
        <v>1438758.9678571429</v>
      </c>
      <c r="P20" s="7">
        <f t="shared" si="4"/>
        <v>20142625.550000001</v>
      </c>
      <c r="Q20" s="164">
        <f>Q19+N20</f>
        <v>1691282.35</v>
      </c>
      <c r="R20" s="29">
        <f t="shared" si="3"/>
        <v>1253.5748579522763</v>
      </c>
      <c r="S20" s="5">
        <f>SUM($Q$7:$Q20)/T20</f>
        <v>1681482.6357142858</v>
      </c>
      <c r="T20" s="18">
        <v>14</v>
      </c>
      <c r="U20" s="138">
        <f>B19+8</f>
        <v>43788</v>
      </c>
      <c r="V20" s="131">
        <v>1348.8</v>
      </c>
      <c r="W20" s="105">
        <v>-1278731</v>
      </c>
      <c r="X20" s="167"/>
      <c r="Y20" s="156">
        <f>Y19-K20-L20</f>
        <v>-1278731</v>
      </c>
      <c r="Z20" s="217"/>
      <c r="AA20" s="92"/>
      <c r="AB20" s="92"/>
    </row>
    <row r="21" spans="2:31">
      <c r="B21" s="116">
        <v>43782</v>
      </c>
      <c r="C21" s="14" t="str">
        <f t="shared" si="0"/>
        <v/>
      </c>
      <c r="D21" s="87">
        <f>-1560+1547</f>
        <v>-13</v>
      </c>
      <c r="E21" s="87">
        <v>21</v>
      </c>
      <c r="F21" s="23">
        <v>-255447</v>
      </c>
      <c r="G21" s="26">
        <f>D21+E21+F21-E20-F20</f>
        <v>-2871</v>
      </c>
      <c r="H21" s="132">
        <v>500</v>
      </c>
      <c r="I21" s="25">
        <v>-4800</v>
      </c>
      <c r="J21" s="63">
        <v>100</v>
      </c>
      <c r="K21" s="170">
        <f t="shared" si="8"/>
        <v>-4200</v>
      </c>
      <c r="L21" s="171">
        <v>12</v>
      </c>
      <c r="M21" s="153"/>
      <c r="N21" s="149">
        <f>L21+K21+G21+M21</f>
        <v>-7059</v>
      </c>
      <c r="O21" s="67">
        <f t="shared" si="2"/>
        <v>1446180.9266666668</v>
      </c>
      <c r="P21" s="7">
        <f t="shared" si="4"/>
        <v>21692713.900000002</v>
      </c>
      <c r="Q21" s="164">
        <f>Q20+N21</f>
        <v>1684223.35</v>
      </c>
      <c r="R21" s="29">
        <f t="shared" si="3"/>
        <v>1253.7103291460098</v>
      </c>
      <c r="S21" s="5">
        <f>SUM($Q$7:$Q21)/T21-1</f>
        <v>1681664.3500000003</v>
      </c>
      <c r="T21" s="18">
        <v>15</v>
      </c>
      <c r="U21" s="4"/>
      <c r="V21" s="131"/>
      <c r="W21" s="105">
        <v>-1274543</v>
      </c>
      <c r="X21" s="167"/>
      <c r="Y21" s="156">
        <f>Y20-K21-L21</f>
        <v>-1274543</v>
      </c>
      <c r="Z21" s="217"/>
      <c r="AA21" s="92"/>
    </row>
    <row r="22" spans="2:31">
      <c r="B22" s="116">
        <v>43783</v>
      </c>
      <c r="C22" s="14" t="str">
        <f t="shared" si="0"/>
        <v/>
      </c>
      <c r="D22" s="87"/>
      <c r="E22" s="87">
        <v>45</v>
      </c>
      <c r="F22" s="23">
        <v>-235822</v>
      </c>
      <c r="G22" s="26">
        <f>D22+E22+F22-E21-F21</f>
        <v>19649</v>
      </c>
      <c r="H22" s="132">
        <v>500</v>
      </c>
      <c r="I22" s="25">
        <v>-20000</v>
      </c>
      <c r="J22" s="63">
        <v>100</v>
      </c>
      <c r="K22" s="170">
        <f t="shared" si="8"/>
        <v>-19400</v>
      </c>
      <c r="L22" s="171">
        <v>-32</v>
      </c>
      <c r="M22" s="153"/>
      <c r="N22" s="149">
        <f>L22+K22+G22+M22</f>
        <v>217</v>
      </c>
      <c r="O22" s="67">
        <f t="shared" si="2"/>
        <v>1452688.7031250002</v>
      </c>
      <c r="P22" s="7">
        <f t="shared" si="4"/>
        <v>23243019.250000004</v>
      </c>
      <c r="Q22" s="164">
        <f>Q21+N22</f>
        <v>1684440.35</v>
      </c>
      <c r="R22" s="29">
        <f t="shared" si="3"/>
        <v>1253.8396298505238</v>
      </c>
      <c r="S22" s="5">
        <f>SUM($Q$7:$Q22)/T22-1</f>
        <v>1681837.7875000003</v>
      </c>
      <c r="T22" s="18">
        <v>16</v>
      </c>
      <c r="U22" s="4"/>
      <c r="V22" s="131"/>
      <c r="W22" s="105">
        <v>-1255111</v>
      </c>
      <c r="X22" s="167"/>
      <c r="Y22" s="156">
        <f>Y21-K22-L22</f>
        <v>-1255111</v>
      </c>
      <c r="Z22" s="217"/>
      <c r="AA22" s="92"/>
    </row>
    <row r="23" spans="2:31">
      <c r="B23" s="116">
        <v>43784</v>
      </c>
      <c r="C23" s="14" t="str">
        <f t="shared" si="0"/>
        <v/>
      </c>
      <c r="D23" s="87"/>
      <c r="E23" s="87">
        <v>10</v>
      </c>
      <c r="F23" s="23">
        <v>-231412</v>
      </c>
      <c r="G23" s="26">
        <f t="shared" ref="G23" si="9">D23+E23+F23-E22-F22</f>
        <v>4375</v>
      </c>
      <c r="H23" s="132">
        <v>8100</v>
      </c>
      <c r="I23" s="25">
        <v>-12850</v>
      </c>
      <c r="J23" s="63">
        <v>100</v>
      </c>
      <c r="K23" s="170">
        <f t="shared" si="8"/>
        <v>-4650</v>
      </c>
      <c r="L23" s="171">
        <v>-14</v>
      </c>
      <c r="M23" s="153"/>
      <c r="N23" s="149">
        <f>L23+K23+G23+M23</f>
        <v>-289</v>
      </c>
      <c r="O23" s="67">
        <f t="shared" si="2"/>
        <v>1458413.8588235297</v>
      </c>
      <c r="P23" s="7">
        <f t="shared" si="4"/>
        <v>24793035.600000005</v>
      </c>
      <c r="Q23" s="164">
        <f>Q22+N23</f>
        <v>1684151.35</v>
      </c>
      <c r="R23" s="29">
        <f t="shared" si="3"/>
        <v>1253.9417904262389</v>
      </c>
      <c r="S23" s="5">
        <f>SUM($Q$7:$Q23)/T23</f>
        <v>1681974.8205882357</v>
      </c>
      <c r="T23" s="18">
        <v>17</v>
      </c>
      <c r="U23" s="27"/>
      <c r="V23" s="135"/>
      <c r="W23" s="105">
        <v>-1250447</v>
      </c>
      <c r="X23" s="167"/>
      <c r="Y23" s="156">
        <f t="shared" si="7"/>
        <v>-1250447</v>
      </c>
      <c r="Z23" s="217"/>
      <c r="AA23" s="92"/>
    </row>
    <row r="24" spans="2:31">
      <c r="B24" s="116">
        <v>43785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1463502.8861111114</v>
      </c>
      <c r="P24" s="7">
        <f t="shared" si="4"/>
        <v>26343051.950000007</v>
      </c>
      <c r="Q24" s="164">
        <f t="shared" si="5"/>
        <v>1684151.35</v>
      </c>
      <c r="R24" s="29">
        <f t="shared" si="3"/>
        <v>1254.0319371445853</v>
      </c>
      <c r="S24" s="5">
        <f>SUM($Q$7:$Q24)/T24</f>
        <v>1682095.7388888893</v>
      </c>
      <c r="T24" s="18">
        <v>18</v>
      </c>
      <c r="U24" s="4"/>
      <c r="V24" s="135"/>
      <c r="W24" s="105">
        <v>-1250447</v>
      </c>
      <c r="X24" s="167"/>
      <c r="Y24" s="156">
        <f t="shared" si="7"/>
        <v>-1250447</v>
      </c>
      <c r="Z24" s="217"/>
      <c r="AA24" s="92"/>
      <c r="AD24" s="1"/>
      <c r="AE24" s="1"/>
    </row>
    <row r="25" spans="2:31">
      <c r="B25" s="116">
        <v>43786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1468056.2263157899</v>
      </c>
      <c r="P25" s="7">
        <f t="shared" si="4"/>
        <v>27893068.300000008</v>
      </c>
      <c r="Q25" s="164">
        <f t="shared" si="5"/>
        <v>1684151.35</v>
      </c>
      <c r="R25" s="29">
        <f t="shared" si="3"/>
        <v>1254.1118492171088</v>
      </c>
      <c r="S25" s="5">
        <f>SUM($Q$7:$Q25)/T25-1</f>
        <v>1682202.9289473689</v>
      </c>
      <c r="T25" s="18">
        <v>19</v>
      </c>
      <c r="U25" s="4"/>
      <c r="V25" s="131"/>
      <c r="W25" s="105">
        <v>-1250447</v>
      </c>
      <c r="X25" s="167"/>
      <c r="Y25" s="156">
        <f t="shared" si="7"/>
        <v>-1250447</v>
      </c>
      <c r="Z25" s="217"/>
      <c r="AA25" s="92"/>
      <c r="AD25" s="1"/>
      <c r="AE25" s="1"/>
    </row>
    <row r="26" spans="2:31">
      <c r="B26" s="116">
        <v>43787</v>
      </c>
      <c r="C26" s="14" t="str">
        <f t="shared" si="0"/>
        <v/>
      </c>
      <c r="D26" s="87"/>
      <c r="E26" s="87">
        <v>42</v>
      </c>
      <c r="F26" s="23">
        <v>-207557</v>
      </c>
      <c r="G26" s="26">
        <f>D26+E26+F26-E23-F23</f>
        <v>23887</v>
      </c>
      <c r="H26" s="132">
        <v>500</v>
      </c>
      <c r="I26" s="25">
        <v>-19400</v>
      </c>
      <c r="J26" s="63">
        <v>100</v>
      </c>
      <c r="K26" s="170">
        <f t="shared" si="8"/>
        <v>-18800</v>
      </c>
      <c r="L26" s="171">
        <v>-71</v>
      </c>
      <c r="M26" s="153"/>
      <c r="N26" s="149">
        <f t="shared" si="6"/>
        <v>5016</v>
      </c>
      <c r="O26" s="67">
        <f t="shared" si="2"/>
        <v>1472405.0325000004</v>
      </c>
      <c r="P26" s="7">
        <f t="shared" si="4"/>
        <v>29448100.65000001</v>
      </c>
      <c r="Q26" s="164">
        <f>Q25+N26</f>
        <v>1689167.35</v>
      </c>
      <c r="R26" s="29">
        <f t="shared" si="3"/>
        <v>1254.3647071979724</v>
      </c>
      <c r="S26" s="5">
        <f>SUM($Q$7:$Q26)/T26-10</f>
        <v>1682542.1000000003</v>
      </c>
      <c r="T26" s="18">
        <v>20</v>
      </c>
      <c r="U26" s="138">
        <f>B26</f>
        <v>43787</v>
      </c>
      <c r="V26" s="131" t="s">
        <v>297</v>
      </c>
      <c r="W26" s="105">
        <v>-1231576</v>
      </c>
      <c r="X26" s="167">
        <f>AVERAGE(W26:W34)</f>
        <v>-1224718.5555555555</v>
      </c>
      <c r="Y26" s="156">
        <f>Y25-K26-L26</f>
        <v>-1231576</v>
      </c>
      <c r="Z26" s="217">
        <f>AVERAGE(Y26:Y34)</f>
        <v>-1224718.5555555555</v>
      </c>
      <c r="AC26" s="92"/>
      <c r="AD26" s="1"/>
      <c r="AE26" s="1"/>
    </row>
    <row r="27" spans="2:31">
      <c r="B27" s="116">
        <v>43788</v>
      </c>
      <c r="C27" s="14" t="str">
        <f t="shared" si="0"/>
        <v/>
      </c>
      <c r="D27" s="87"/>
      <c r="E27" s="87">
        <v>28</v>
      </c>
      <c r="F27" s="23">
        <v>-218711</v>
      </c>
      <c r="G27" s="26">
        <f>D27+E27+F27-E26-F26</f>
        <v>-11168</v>
      </c>
      <c r="H27" s="132">
        <v>-400</v>
      </c>
      <c r="I27" s="25">
        <v>2100</v>
      </c>
      <c r="J27" s="63">
        <v>100</v>
      </c>
      <c r="K27" s="170">
        <f t="shared" si="8"/>
        <v>1800</v>
      </c>
      <c r="L27" s="171">
        <v>9</v>
      </c>
      <c r="M27" s="153"/>
      <c r="N27" s="149">
        <f>L27+K27+G27+M27</f>
        <v>-9359</v>
      </c>
      <c r="O27" s="67">
        <f t="shared" si="2"/>
        <v>1475894.047619048</v>
      </c>
      <c r="P27" s="7">
        <f t="shared" si="4"/>
        <v>30993775.000000011</v>
      </c>
      <c r="Q27" s="164">
        <f>Q26+N27+2-1</f>
        <v>1679809.35</v>
      </c>
      <c r="R27" s="29">
        <f t="shared" si="3"/>
        <v>1254.2680827950521</v>
      </c>
      <c r="S27" s="5">
        <f>SUM($Q$7:$Q27)/T27-9</f>
        <v>1682412.4928571433</v>
      </c>
      <c r="T27" s="18">
        <v>21</v>
      </c>
      <c r="U27" s="138">
        <f>B28+6</f>
        <v>43795</v>
      </c>
      <c r="V27" s="159">
        <v>1391.2</v>
      </c>
      <c r="W27" s="105">
        <v>-1233386</v>
      </c>
      <c r="X27" s="167"/>
      <c r="Y27" s="156">
        <f>Y26-K27-L27-1</f>
        <v>-1233386</v>
      </c>
      <c r="Z27" s="217"/>
      <c r="AA27" s="92"/>
      <c r="AD27" s="1"/>
      <c r="AE27" s="1"/>
    </row>
    <row r="28" spans="2:31">
      <c r="B28" s="116">
        <v>43789</v>
      </c>
      <c r="C28" s="14" t="str">
        <f t="shared" si="0"/>
        <v/>
      </c>
      <c r="D28" s="87">
        <f>-1547+1894</f>
        <v>347</v>
      </c>
      <c r="E28" s="87">
        <v>3</v>
      </c>
      <c r="F28" s="23">
        <v>-225248</v>
      </c>
      <c r="G28" s="26">
        <f>D28+E28+F28-E27-F27</f>
        <v>-6215</v>
      </c>
      <c r="H28" s="132">
        <v>-7500</v>
      </c>
      <c r="I28" s="25">
        <v>6800</v>
      </c>
      <c r="J28" s="25">
        <v>100</v>
      </c>
      <c r="K28" s="170">
        <f t="shared" si="8"/>
        <v>-600</v>
      </c>
      <c r="L28" s="171">
        <v>41</v>
      </c>
      <c r="M28" s="153"/>
      <c r="N28" s="149">
        <f>L28+K28+G28+M28-1</f>
        <v>-6775</v>
      </c>
      <c r="O28" s="67">
        <f t="shared" si="2"/>
        <v>1478757.9250000005</v>
      </c>
      <c r="P28" s="7">
        <f t="shared" si="4"/>
        <v>32532674.350000013</v>
      </c>
      <c r="Q28" s="164">
        <f>Q27+N28</f>
        <v>1673034.35</v>
      </c>
      <c r="R28" s="29">
        <f t="shared" si="3"/>
        <v>1253.9499791593953</v>
      </c>
      <c r="S28" s="5">
        <f>SUM($Q$7:$Q28)/T28-9</f>
        <v>1681985.8045454549</v>
      </c>
      <c r="T28" s="18">
        <v>22</v>
      </c>
      <c r="U28" s="4"/>
      <c r="V28" s="131"/>
      <c r="W28" s="105">
        <v>-1232826</v>
      </c>
      <c r="X28" s="167"/>
      <c r="Y28" s="156">
        <f>Y27-K28-L28+1</f>
        <v>-1232826</v>
      </c>
      <c r="Z28" s="217"/>
      <c r="AA28" s="92"/>
      <c r="AD28" s="1"/>
      <c r="AE28" s="1"/>
    </row>
    <row r="29" spans="2:31">
      <c r="B29" s="116">
        <v>43790</v>
      </c>
      <c r="C29" s="14" t="str">
        <f t="shared" si="0"/>
        <v/>
      </c>
      <c r="D29" s="87"/>
      <c r="E29" s="87">
        <v>3</v>
      </c>
      <c r="F29" s="23">
        <v>-230765</v>
      </c>
      <c r="G29" s="26">
        <f>D29+E29+F29-E28-F28</f>
        <v>-5517</v>
      </c>
      <c r="H29" s="132">
        <v>-17100</v>
      </c>
      <c r="I29" s="25">
        <v>6200</v>
      </c>
      <c r="J29" s="25">
        <v>100</v>
      </c>
      <c r="K29" s="170">
        <f t="shared" si="8"/>
        <v>-10800</v>
      </c>
      <c r="L29" s="171">
        <v>-5</v>
      </c>
      <c r="M29" s="153"/>
      <c r="N29" s="149">
        <f>L29+K29+G29+M29</f>
        <v>-16322</v>
      </c>
      <c r="O29" s="67">
        <f t="shared" si="2"/>
        <v>1480663.2478260875</v>
      </c>
      <c r="P29" s="7">
        <f t="shared" si="4"/>
        <v>34055254.70000001</v>
      </c>
      <c r="Q29" s="164">
        <f>Q28+N29+2+1</f>
        <v>1656715.35</v>
      </c>
      <c r="R29" s="29">
        <f t="shared" si="3"/>
        <v>1253.1305757826724</v>
      </c>
      <c r="S29" s="5">
        <f>SUM($Q$7:$Q29)/T29-9</f>
        <v>1680886.6978260875</v>
      </c>
      <c r="T29" s="18">
        <v>23</v>
      </c>
      <c r="U29" s="4"/>
      <c r="V29" s="131"/>
      <c r="W29" s="105">
        <v>-1222024</v>
      </c>
      <c r="X29" s="167"/>
      <c r="Y29" s="156">
        <f>Y28-K29-L29-3</f>
        <v>-1222024</v>
      </c>
      <c r="Z29" s="217"/>
      <c r="AA29" s="92"/>
      <c r="AD29" s="1"/>
      <c r="AE29" s="1"/>
    </row>
    <row r="30" spans="2:31">
      <c r="B30" s="116">
        <v>43791</v>
      </c>
      <c r="C30" s="14" t="str">
        <f t="shared" si="0"/>
        <v/>
      </c>
      <c r="D30" s="87"/>
      <c r="E30" s="87">
        <v>3</v>
      </c>
      <c r="F30" s="23">
        <v>-230478</v>
      </c>
      <c r="G30" s="26">
        <f>D30+E30+F30-E29-F29</f>
        <v>287</v>
      </c>
      <c r="H30" s="132">
        <v>2500</v>
      </c>
      <c r="I30" s="25">
        <v>-1700</v>
      </c>
      <c r="J30" s="25">
        <v>100</v>
      </c>
      <c r="K30" s="170">
        <f t="shared" si="8"/>
        <v>900</v>
      </c>
      <c r="L30" s="171">
        <v>-71</v>
      </c>
      <c r="M30" s="153"/>
      <c r="N30" s="149">
        <f t="shared" si="6"/>
        <v>1116</v>
      </c>
      <c r="O30" s="67">
        <f t="shared" si="2"/>
        <v>1482455.9604166672</v>
      </c>
      <c r="P30" s="7">
        <f t="shared" si="4"/>
        <v>35578943.050000012</v>
      </c>
      <c r="Q30" s="164">
        <f>Q29+N30+1-9</f>
        <v>1657823.35</v>
      </c>
      <c r="R30" s="29">
        <f t="shared" si="3"/>
        <v>1252.4250568457155</v>
      </c>
      <c r="S30" s="5">
        <f>SUM($Q$7:$Q30)/T30+6</f>
        <v>1679940.3500000006</v>
      </c>
      <c r="T30" s="18">
        <v>24</v>
      </c>
      <c r="U30" s="4"/>
      <c r="V30" s="131"/>
      <c r="W30" s="105">
        <v>-1222845</v>
      </c>
      <c r="X30" s="167"/>
      <c r="Y30" s="156">
        <f>Y29-K30-L30+8</f>
        <v>-1222845</v>
      </c>
      <c r="Z30" s="217"/>
      <c r="AA30" s="92"/>
      <c r="AD30" s="1"/>
      <c r="AE30" s="1"/>
    </row>
    <row r="31" spans="2:31">
      <c r="B31" s="116">
        <v>43792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1484105.2560000005</v>
      </c>
      <c r="P31" s="7">
        <f t="shared" si="4"/>
        <v>37102631.400000013</v>
      </c>
      <c r="Q31" s="164">
        <f t="shared" si="5"/>
        <v>1657823.35</v>
      </c>
      <c r="R31" s="29">
        <f t="shared" si="3"/>
        <v>1251.7627092108701</v>
      </c>
      <c r="S31" s="5">
        <f>SUM($Q$7:$Q31)/T31+2</f>
        <v>1679051.9100000006</v>
      </c>
      <c r="T31" s="18">
        <v>25</v>
      </c>
      <c r="U31" s="4"/>
      <c r="V31" s="137"/>
      <c r="W31" s="105">
        <v>-1222845</v>
      </c>
      <c r="X31" s="167"/>
      <c r="Y31" s="156">
        <f t="shared" si="7"/>
        <v>-1222845</v>
      </c>
      <c r="Z31" s="217"/>
      <c r="AA31" s="92"/>
      <c r="AB31" s="92"/>
      <c r="AD31" s="1"/>
      <c r="AE31" s="1"/>
    </row>
    <row r="32" spans="2:31">
      <c r="B32" s="116">
        <v>43793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1485627.6826923082</v>
      </c>
      <c r="P32" s="7">
        <f t="shared" si="4"/>
        <v>38626319.750000015</v>
      </c>
      <c r="Q32" s="164">
        <f t="shared" si="5"/>
        <v>1657823.35</v>
      </c>
      <c r="R32" s="29">
        <f t="shared" si="3"/>
        <v>1251.1480999337641</v>
      </c>
      <c r="S32" s="5">
        <f>SUM($Q$7:$Q32)/T32-6</f>
        <v>1678227.5038461545</v>
      </c>
      <c r="T32" s="18">
        <v>26</v>
      </c>
      <c r="U32" s="27"/>
      <c r="V32" s="137"/>
      <c r="W32" s="105">
        <v>-1222845</v>
      </c>
      <c r="X32" s="167"/>
      <c r="Y32" s="156">
        <f t="shared" si="7"/>
        <v>-1222845</v>
      </c>
      <c r="Z32" s="217"/>
      <c r="AD32" s="1"/>
      <c r="AE32" s="1"/>
    </row>
    <row r="33" spans="2:31">
      <c r="B33" s="116">
        <v>43794</v>
      </c>
      <c r="C33" s="14" t="str">
        <f t="shared" si="0"/>
        <v/>
      </c>
      <c r="D33" s="87"/>
      <c r="E33" s="87">
        <v>2</v>
      </c>
      <c r="F33" s="23">
        <v>-235596</v>
      </c>
      <c r="G33" s="26">
        <f>D33+E33+F33-E30-F30</f>
        <v>-5119</v>
      </c>
      <c r="H33" s="132">
        <v>-4200</v>
      </c>
      <c r="I33" s="25">
        <v>-500</v>
      </c>
      <c r="J33" s="25">
        <v>-1800</v>
      </c>
      <c r="K33" s="170">
        <f t="shared" si="8"/>
        <v>-6500</v>
      </c>
      <c r="L33" s="171">
        <v>29</v>
      </c>
      <c r="M33" s="153"/>
      <c r="N33" s="149">
        <f t="shared" si="6"/>
        <v>-11590</v>
      </c>
      <c r="O33" s="67">
        <f t="shared" si="2"/>
        <v>1486608.1148148153</v>
      </c>
      <c r="P33" s="7">
        <f t="shared" si="4"/>
        <v>40138419.100000016</v>
      </c>
      <c r="Q33" s="164">
        <f>Q32+N33+1</f>
        <v>1646234.35</v>
      </c>
      <c r="R33" s="29">
        <f t="shared" si="3"/>
        <v>1250.2682744995716</v>
      </c>
      <c r="S33" s="5">
        <f>SUM($Q$7:$Q33)/T33-1</f>
        <v>1677047.3500000006</v>
      </c>
      <c r="T33" s="18">
        <v>27</v>
      </c>
      <c r="U33" s="138">
        <f>B33</f>
        <v>43794</v>
      </c>
      <c r="V33" s="131" t="s">
        <v>298</v>
      </c>
      <c r="W33" s="105">
        <v>-1216375</v>
      </c>
      <c r="X33" s="167">
        <f>AVERAGE(W33:W48)</f>
        <v>-1261819.25</v>
      </c>
      <c r="Y33" s="156">
        <f>Y32-K33-L33-1</f>
        <v>-1216375</v>
      </c>
      <c r="Z33" s="217">
        <f>AVERAGE(Y33:Y41)</f>
        <v>-1250221.6666666667</v>
      </c>
      <c r="AD33" s="1"/>
      <c r="AE33" s="1"/>
    </row>
    <row r="34" spans="2:31">
      <c r="B34" s="116">
        <v>43795</v>
      </c>
      <c r="C34" s="14" t="str">
        <f t="shared" si="0"/>
        <v/>
      </c>
      <c r="D34" s="87"/>
      <c r="E34" s="87">
        <v>15</v>
      </c>
      <c r="F34" s="23">
        <v>-230202</v>
      </c>
      <c r="G34" s="26">
        <f>D34+E34+F34-E33-F33</f>
        <v>5407</v>
      </c>
      <c r="H34" s="132">
        <v>567</v>
      </c>
      <c r="I34" s="25">
        <v>2600</v>
      </c>
      <c r="J34" s="25">
        <v>-1800</v>
      </c>
      <c r="K34" s="170">
        <f t="shared" si="8"/>
        <v>1367</v>
      </c>
      <c r="L34" s="171">
        <v>4</v>
      </c>
      <c r="M34" s="153"/>
      <c r="N34" s="149">
        <f>L34+K34+G34+M34</f>
        <v>6778</v>
      </c>
      <c r="O34" s="67">
        <f t="shared" si="2"/>
        <v>1487760.5160714292</v>
      </c>
      <c r="P34" s="7">
        <f t="shared" si="4"/>
        <v>41657294.450000018</v>
      </c>
      <c r="Q34" s="164">
        <f>Q33+N34-2</f>
        <v>1653010.35</v>
      </c>
      <c r="R34" s="29">
        <f t="shared" si="3"/>
        <v>1249.6289931785147</v>
      </c>
      <c r="S34" s="5">
        <f>SUM($Q$7:$Q34)/T34</f>
        <v>1676189.8500000008</v>
      </c>
      <c r="T34" s="18">
        <v>28</v>
      </c>
      <c r="U34" s="138">
        <f>B33+8</f>
        <v>43802</v>
      </c>
      <c r="V34" s="131">
        <v>1370</v>
      </c>
      <c r="W34" s="105">
        <v>-1217745</v>
      </c>
      <c r="X34" s="167"/>
      <c r="Y34" s="156">
        <f>Y33-K34-L34+1</f>
        <v>-1217745</v>
      </c>
      <c r="Z34" s="217"/>
      <c r="AA34" s="92"/>
      <c r="AD34" s="1"/>
      <c r="AE34" s="1"/>
    </row>
    <row r="35" spans="2:31">
      <c r="B35" s="116">
        <v>43796</v>
      </c>
      <c r="C35" s="14" t="str">
        <f t="shared" si="0"/>
        <v/>
      </c>
      <c r="D35" s="87">
        <f>-1894+2531</f>
        <v>637</v>
      </c>
      <c r="E35" s="87">
        <v>20</v>
      </c>
      <c r="F35" s="23">
        <v>-234642</v>
      </c>
      <c r="G35" s="26">
        <f>D35+E35+F35-E34-F34</f>
        <v>-3798</v>
      </c>
      <c r="H35" s="132">
        <v>600</v>
      </c>
      <c r="I35" s="25">
        <v>5600</v>
      </c>
      <c r="J35" s="25">
        <v>-1800</v>
      </c>
      <c r="K35" s="170">
        <f t="shared" si="8"/>
        <v>4400</v>
      </c>
      <c r="L35" s="171">
        <v>5</v>
      </c>
      <c r="M35" s="153"/>
      <c r="N35" s="149">
        <f t="shared" si="6"/>
        <v>607</v>
      </c>
      <c r="O35" s="67">
        <f t="shared" si="2"/>
        <v>1488854.441379311</v>
      </c>
      <c r="P35" s="7">
        <f t="shared" si="4"/>
        <v>43176778.800000019</v>
      </c>
      <c r="Q35" s="164">
        <f>Q34+N35+2</f>
        <v>1653619.35</v>
      </c>
      <c r="R35" s="29">
        <f t="shared" si="3"/>
        <v>1249.0487619909438</v>
      </c>
      <c r="S35" s="5">
        <f>SUM($Q$7:$Q35)/T35</f>
        <v>1675411.5568965524</v>
      </c>
      <c r="T35" s="18">
        <v>29</v>
      </c>
      <c r="U35" s="4"/>
      <c r="V35" s="131"/>
      <c r="W35" s="105">
        <v>-1222151</v>
      </c>
      <c r="X35" s="167"/>
      <c r="Y35" s="156">
        <f>Y34-K35-L35-1</f>
        <v>-1222151</v>
      </c>
      <c r="Z35" s="217"/>
      <c r="AA35" s="92"/>
      <c r="AD35" s="1"/>
      <c r="AE35" s="1"/>
    </row>
    <row r="36" spans="2:31">
      <c r="B36" s="116">
        <v>43797</v>
      </c>
      <c r="C36" s="14" t="str">
        <f t="shared" si="0"/>
        <v/>
      </c>
      <c r="D36" s="87">
        <f>-1138+1424</f>
        <v>286</v>
      </c>
      <c r="E36" s="87">
        <v>14</v>
      </c>
      <c r="F36" s="23">
        <v>-234953</v>
      </c>
      <c r="G36" s="26">
        <f>D36+E36+F36-E35-F35</f>
        <v>-31</v>
      </c>
      <c r="H36" s="132">
        <v>600</v>
      </c>
      <c r="I36" s="25">
        <v>6300</v>
      </c>
      <c r="J36" s="25">
        <v>-1700</v>
      </c>
      <c r="K36" s="170">
        <f t="shared" si="8"/>
        <v>5200</v>
      </c>
      <c r="L36" s="171">
        <f>-28+50</f>
        <v>22</v>
      </c>
      <c r="M36" s="153"/>
      <c r="N36" s="149">
        <f t="shared" si="6"/>
        <v>5191</v>
      </c>
      <c r="O36" s="67">
        <f t="shared" si="2"/>
        <v>1490048.3383333341</v>
      </c>
      <c r="P36" s="7">
        <f t="shared" si="4"/>
        <v>44701450.150000021</v>
      </c>
      <c r="Q36" s="164">
        <f>Q35+N36-4</f>
        <v>1658806.35</v>
      </c>
      <c r="R36" s="29">
        <f t="shared" si="3"/>
        <v>1248.6361128713615</v>
      </c>
      <c r="S36" s="5">
        <f>SUM($Q$7:$Q36)/T36</f>
        <v>1674858.0500000007</v>
      </c>
      <c r="T36" s="18">
        <v>30</v>
      </c>
      <c r="U36" s="4"/>
      <c r="V36" s="136"/>
      <c r="W36" s="105">
        <v>-1227370</v>
      </c>
      <c r="X36" s="167"/>
      <c r="Y36" s="156">
        <f>Y35-K36-L36+3</f>
        <v>-1227370</v>
      </c>
      <c r="Z36" s="217"/>
      <c r="AD36" s="1"/>
      <c r="AE36" s="1"/>
    </row>
    <row r="37" spans="2:31">
      <c r="B37" s="116">
        <v>43798</v>
      </c>
      <c r="C37" s="14" t="str">
        <f t="shared" si="0"/>
        <v/>
      </c>
      <c r="D37" s="87"/>
      <c r="E37" s="87">
        <v>43</v>
      </c>
      <c r="F37" s="23">
        <v>-276103</v>
      </c>
      <c r="G37" s="26">
        <f>D37+E37+F37-E36-F36</f>
        <v>-41121</v>
      </c>
      <c r="H37" s="132">
        <v>1400</v>
      </c>
      <c r="I37" s="25">
        <v>32400</v>
      </c>
      <c r="J37" s="25">
        <v>-1700</v>
      </c>
      <c r="K37" s="170">
        <f t="shared" si="8"/>
        <v>32100</v>
      </c>
      <c r="L37" s="171">
        <v>-28</v>
      </c>
      <c r="M37" s="153"/>
      <c r="N37" s="149">
        <f t="shared" si="6"/>
        <v>-9049</v>
      </c>
      <c r="O37" s="67">
        <f t="shared" si="2"/>
        <v>1490873.2419354846</v>
      </c>
      <c r="P37" s="7">
        <f t="shared" si="4"/>
        <v>46217070.500000022</v>
      </c>
      <c r="Q37" s="164">
        <f>Q36+N37-2</f>
        <v>1649755.35</v>
      </c>
      <c r="R37" s="29">
        <f t="shared" si="3"/>
        <v>1248.0331647100845</v>
      </c>
      <c r="S37" s="5">
        <f>SUM($Q$7:$Q37)/T37+1</f>
        <v>1674049.2854838718</v>
      </c>
      <c r="T37" s="18">
        <v>31</v>
      </c>
      <c r="U37" s="27"/>
      <c r="V37" s="137"/>
      <c r="W37" s="105">
        <v>-1259439</v>
      </c>
      <c r="X37" s="167"/>
      <c r="Y37" s="156">
        <f>Y36-K37-L37+3</f>
        <v>-1259439</v>
      </c>
      <c r="Z37" s="217"/>
      <c r="AA37" s="92"/>
      <c r="AD37" s="1"/>
      <c r="AE37" s="1"/>
    </row>
    <row r="38" spans="2:31">
      <c r="B38" s="116">
        <v>43799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1491646.5890625007</v>
      </c>
      <c r="P38" s="7">
        <f t="shared" si="4"/>
        <v>47732690.850000024</v>
      </c>
      <c r="Q38" s="164">
        <f>Q37+N38</f>
        <v>1649755.35</v>
      </c>
      <c r="R38" s="29">
        <f t="shared" si="3"/>
        <v>1247.4664563685844</v>
      </c>
      <c r="S38" s="5">
        <f>SUM($Q$7:$Q38)/T38</f>
        <v>1673289.1312500008</v>
      </c>
      <c r="T38" s="18">
        <v>32</v>
      </c>
      <c r="U38" s="27"/>
      <c r="V38" s="137"/>
      <c r="W38" s="105">
        <v>-1259439</v>
      </c>
      <c r="X38" s="167"/>
      <c r="Y38" s="156">
        <f t="shared" si="7"/>
        <v>-1259439</v>
      </c>
      <c r="Z38" s="217"/>
      <c r="AD38" s="1"/>
      <c r="AE38" s="1"/>
    </row>
    <row r="39" spans="2:31">
      <c r="B39" s="116">
        <v>43800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1492373.1575757584</v>
      </c>
      <c r="P39" s="7">
        <f t="shared" si="4"/>
        <v>49248314.200000025</v>
      </c>
      <c r="Q39" s="164">
        <f t="shared" ref="Q39" si="10">Q38+N39+3</f>
        <v>1649758.35</v>
      </c>
      <c r="R39" s="29">
        <f t="shared" si="3"/>
        <v>1246.934116578617</v>
      </c>
      <c r="S39" s="5">
        <f>SUM($Q$7:$Q39)/T39-1</f>
        <v>1672575.0772727281</v>
      </c>
      <c r="T39" s="18">
        <v>33</v>
      </c>
      <c r="U39" s="27"/>
      <c r="V39" s="137"/>
      <c r="W39" s="105">
        <v>-1259439</v>
      </c>
      <c r="X39" s="167"/>
      <c r="Y39" s="156">
        <f t="shared" si="7"/>
        <v>-1259439</v>
      </c>
      <c r="Z39" s="217"/>
      <c r="AD39" s="1"/>
      <c r="AE39" s="1"/>
    </row>
    <row r="40" spans="2:31">
      <c r="B40" s="116">
        <v>43801</v>
      </c>
      <c r="C40" s="14" t="str">
        <f t="shared" si="0"/>
        <v/>
      </c>
      <c r="D40" s="87"/>
      <c r="E40" s="87">
        <v>2</v>
      </c>
      <c r="F40" s="23">
        <v>-269097</v>
      </c>
      <c r="G40" s="26">
        <f>D40+E40+F40-E37-F37</f>
        <v>6965</v>
      </c>
      <c r="H40" s="132">
        <v>26600</v>
      </c>
      <c r="I40" s="25">
        <v>12200</v>
      </c>
      <c r="J40" s="25">
        <v>-1500</v>
      </c>
      <c r="K40" s="170">
        <f t="shared" si="8"/>
        <v>37300</v>
      </c>
      <c r="L40" s="171">
        <v>-13</v>
      </c>
      <c r="M40" s="153"/>
      <c r="N40" s="149">
        <f t="shared" si="6"/>
        <v>44252</v>
      </c>
      <c r="O40" s="67">
        <f t="shared" si="2"/>
        <v>1494358.3691176479</v>
      </c>
      <c r="P40" s="7">
        <f t="shared" si="4"/>
        <v>50808184.550000027</v>
      </c>
      <c r="Q40" s="164">
        <f>Q39+N40-5</f>
        <v>1694005.35</v>
      </c>
      <c r="R40" s="29">
        <f t="shared" si="3"/>
        <v>1247.4047414917814</v>
      </c>
      <c r="S40" s="5">
        <f>SUM($Q$7:$Q40)/T40</f>
        <v>1673206.3500000008</v>
      </c>
      <c r="T40" s="18">
        <v>34</v>
      </c>
      <c r="U40" s="138">
        <f>B40</f>
        <v>43801</v>
      </c>
      <c r="V40" s="131" t="s">
        <v>299</v>
      </c>
      <c r="W40" s="105">
        <v>-1296725</v>
      </c>
      <c r="X40" s="167">
        <f>AVERAGE(W40:W62)</f>
        <v>-1269762.875</v>
      </c>
      <c r="Y40" s="156">
        <f>Y39-K40-L40+1</f>
        <v>-1296725</v>
      </c>
      <c r="Z40" s="217">
        <f>AVERAGE(Y40:Y48)</f>
        <v>-1280794.4444444445</v>
      </c>
      <c r="AD40" s="1"/>
      <c r="AE40" s="1"/>
    </row>
    <row r="41" spans="2:31">
      <c r="B41" s="116">
        <v>43802</v>
      </c>
      <c r="C41" s="14" t="str">
        <f t="shared" si="0"/>
        <v/>
      </c>
      <c r="D41" s="250"/>
      <c r="E41" s="250">
        <v>157</v>
      </c>
      <c r="F41" s="251">
        <v>-276154</v>
      </c>
      <c r="G41" s="252">
        <f>D41+E41+F41-E40-F40</f>
        <v>-6902</v>
      </c>
      <c r="H41" s="253">
        <v>-900</v>
      </c>
      <c r="I41" s="254">
        <v>-1000</v>
      </c>
      <c r="J41" s="254">
        <v>-1500</v>
      </c>
      <c r="K41" s="255">
        <f t="shared" si="8"/>
        <v>-3400</v>
      </c>
      <c r="L41" s="171">
        <v>-12</v>
      </c>
      <c r="M41" s="153"/>
      <c r="N41" s="149">
        <f t="shared" si="6"/>
        <v>-10314</v>
      </c>
      <c r="O41" s="67">
        <f t="shared" si="2"/>
        <v>1495935.397142858</v>
      </c>
      <c r="P41" s="7">
        <f t="shared" si="4"/>
        <v>52357738.900000028</v>
      </c>
      <c r="Q41" s="164">
        <f>Q40+N41-2</f>
        <v>1683689.35</v>
      </c>
      <c r="R41" s="29">
        <f t="shared" si="3"/>
        <v>1247.6280346559176</v>
      </c>
      <c r="S41" s="5">
        <f>SUM($Q$7:$Q41)/T41</f>
        <v>1673505.8642857152</v>
      </c>
      <c r="T41" s="18">
        <v>35</v>
      </c>
      <c r="U41" s="138">
        <f>B40+8</f>
        <v>43809</v>
      </c>
      <c r="V41" s="131">
        <v>1328.8</v>
      </c>
      <c r="W41" s="105">
        <v>-1293312</v>
      </c>
      <c r="X41" s="167"/>
      <c r="Y41" s="156">
        <f t="shared" ref="Y41:Y42" si="11">Y40-K41-L41+1</f>
        <v>-1293312</v>
      </c>
      <c r="Z41" s="217"/>
      <c r="AD41" s="1"/>
      <c r="AE41" s="1"/>
    </row>
    <row r="42" spans="2:31">
      <c r="B42" s="116">
        <v>43803</v>
      </c>
      <c r="C42" s="14" t="str">
        <f t="shared" si="0"/>
        <v/>
      </c>
      <c r="D42" s="250">
        <f>-2531+1388</f>
        <v>-1143</v>
      </c>
      <c r="E42" s="250">
        <v>5</v>
      </c>
      <c r="F42" s="251">
        <v>-269703</v>
      </c>
      <c r="G42" s="252">
        <f>D42+E42+F42-E41-F41</f>
        <v>5156</v>
      </c>
      <c r="H42" s="253">
        <v>-7500</v>
      </c>
      <c r="I42" s="254">
        <v>7300</v>
      </c>
      <c r="J42" s="254">
        <v>-1500</v>
      </c>
      <c r="K42" s="255">
        <f t="shared" si="8"/>
        <v>-1700</v>
      </c>
      <c r="L42" s="171">
        <v>-26</v>
      </c>
      <c r="M42" s="153"/>
      <c r="N42" s="149">
        <f t="shared" si="6"/>
        <v>3430</v>
      </c>
      <c r="O42" s="67">
        <f t="shared" si="2"/>
        <v>1497520.1736111119</v>
      </c>
      <c r="P42" s="7">
        <f t="shared" si="4"/>
        <v>53910726.25000003</v>
      </c>
      <c r="Q42" s="164">
        <f>Q41+N42+3</f>
        <v>1687122.35</v>
      </c>
      <c r="R42" s="29">
        <f t="shared" si="3"/>
        <v>1247.9100160286284</v>
      </c>
      <c r="S42" s="5">
        <f>SUM($Q$7:$Q42)/T42</f>
        <v>1673884.1000000008</v>
      </c>
      <c r="T42" s="18">
        <v>36</v>
      </c>
      <c r="U42" s="138"/>
      <c r="V42" s="131"/>
      <c r="W42" s="105">
        <v>-1291585</v>
      </c>
      <c r="X42" s="167"/>
      <c r="Y42" s="156">
        <f t="shared" si="11"/>
        <v>-1291585</v>
      </c>
      <c r="Z42" s="217"/>
      <c r="AD42" s="1"/>
      <c r="AE42" s="1"/>
    </row>
    <row r="43" spans="2:31">
      <c r="B43" s="116">
        <v>43804</v>
      </c>
      <c r="C43" s="14" t="str">
        <f t="shared" si="0"/>
        <v/>
      </c>
      <c r="D43" s="250"/>
      <c r="E43" s="250">
        <v>22</v>
      </c>
      <c r="F43" s="251">
        <v>-270456</v>
      </c>
      <c r="G43" s="252">
        <f>D43+E43+F43-E42-F42</f>
        <v>-736</v>
      </c>
      <c r="H43" s="253">
        <v>-11500</v>
      </c>
      <c r="I43" s="254">
        <v>-4950</v>
      </c>
      <c r="J43" s="254">
        <v>-1500</v>
      </c>
      <c r="K43" s="255">
        <f t="shared" si="8"/>
        <v>-17950</v>
      </c>
      <c r="L43" s="171">
        <v>-8</v>
      </c>
      <c r="M43" s="153"/>
      <c r="N43" s="149">
        <f t="shared" si="6"/>
        <v>-18694</v>
      </c>
      <c r="O43" s="67">
        <f t="shared" si="2"/>
        <v>1498514.0432432441</v>
      </c>
      <c r="P43" s="7">
        <f t="shared" si="4"/>
        <v>55445019.600000031</v>
      </c>
      <c r="Q43" s="164">
        <f t="shared" ref="Q43:Q48" si="12">Q42+N43</f>
        <v>1668428.35</v>
      </c>
      <c r="R43" s="29">
        <f t="shared" si="3"/>
        <v>1247.8000874471973</v>
      </c>
      <c r="S43" s="5">
        <f>SUM($Q$7:$Q43)/T43</f>
        <v>1673736.6472972981</v>
      </c>
      <c r="T43" s="18">
        <v>37</v>
      </c>
      <c r="U43" s="138"/>
      <c r="V43" s="131"/>
      <c r="W43" s="105">
        <v>-1273629</v>
      </c>
      <c r="X43" s="167"/>
      <c r="Y43" s="156">
        <f>Y42-K43-L43-2</f>
        <v>-1273629</v>
      </c>
      <c r="Z43" s="217"/>
      <c r="AD43" s="1"/>
      <c r="AE43" s="1"/>
    </row>
    <row r="44" spans="2:31">
      <c r="B44" s="116">
        <v>43805</v>
      </c>
      <c r="C44" s="14" t="str">
        <f t="shared" si="0"/>
        <v/>
      </c>
      <c r="D44" s="250"/>
      <c r="E44" s="250">
        <v>17</v>
      </c>
      <c r="F44" s="251">
        <v>-279577</v>
      </c>
      <c r="G44" s="252">
        <f>D44+E44+F44-E43-F43</f>
        <v>-9126</v>
      </c>
      <c r="H44" s="253">
        <v>-100</v>
      </c>
      <c r="I44" s="254">
        <v>4300</v>
      </c>
      <c r="J44" s="254">
        <v>-1500</v>
      </c>
      <c r="K44" s="255">
        <f t="shared" si="8"/>
        <v>2700</v>
      </c>
      <c r="L44" s="171">
        <v>-3</v>
      </c>
      <c r="M44" s="153"/>
      <c r="N44" s="149">
        <f t="shared" si="6"/>
        <v>-6429</v>
      </c>
      <c r="O44" s="67">
        <f t="shared" si="2"/>
        <v>1499286.4197368429</v>
      </c>
      <c r="P44" s="7">
        <f t="shared" si="4"/>
        <v>56972883.950000033</v>
      </c>
      <c r="Q44" s="164">
        <f t="shared" si="12"/>
        <v>1661999.35</v>
      </c>
      <c r="R44" s="29">
        <f t="shared" si="3"/>
        <v>1247.5698147781209</v>
      </c>
      <c r="S44" s="5">
        <f>SUM($Q$7:$Q44)/T44</f>
        <v>1673427.7710526325</v>
      </c>
      <c r="T44" s="18">
        <v>38</v>
      </c>
      <c r="U44" s="138"/>
      <c r="V44" s="131"/>
      <c r="W44" s="105">
        <v>-1276325</v>
      </c>
      <c r="X44" s="167"/>
      <c r="Y44" s="156">
        <f>Y43-K44-L44+1</f>
        <v>-1276325</v>
      </c>
      <c r="Z44" s="217"/>
      <c r="AD44" s="1"/>
      <c r="AE44" s="1"/>
    </row>
    <row r="45" spans="2:31">
      <c r="B45" s="116">
        <v>43806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1500019.1871794881</v>
      </c>
      <c r="P45" s="7">
        <f t="shared" si="4"/>
        <v>58500748.300000034</v>
      </c>
      <c r="Q45" s="164">
        <f t="shared" si="12"/>
        <v>1661999.35</v>
      </c>
      <c r="R45" s="29">
        <f t="shared" si="3"/>
        <v>1247.351350963869</v>
      </c>
      <c r="S45" s="5">
        <f>SUM($Q$7:$Q45)/T45</f>
        <v>1673134.7346153855</v>
      </c>
      <c r="T45" s="18">
        <v>39</v>
      </c>
      <c r="U45" s="138"/>
      <c r="V45" s="131"/>
      <c r="W45" s="105">
        <v>-1276325</v>
      </c>
      <c r="X45" s="167"/>
      <c r="Y45" s="156">
        <f>Y44-K45-L45</f>
        <v>-1276325</v>
      </c>
      <c r="Z45" s="217"/>
      <c r="AD45" s="1"/>
      <c r="AE45" s="1"/>
    </row>
    <row r="46" spans="2:31">
      <c r="B46" s="116">
        <v>43807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1500715.3162500008</v>
      </c>
      <c r="P46" s="7">
        <f t="shared" si="4"/>
        <v>60028612.650000036</v>
      </c>
      <c r="Q46" s="164">
        <f t="shared" si="12"/>
        <v>1661999.35</v>
      </c>
      <c r="R46" s="29">
        <f t="shared" si="3"/>
        <v>1247.1400827524517</v>
      </c>
      <c r="S46" s="5">
        <f>SUM($Q$7:$Q46)/T46-5</f>
        <v>1672851.350000001</v>
      </c>
      <c r="T46" s="18">
        <v>40</v>
      </c>
      <c r="U46" s="138"/>
      <c r="V46" s="131"/>
      <c r="W46" s="105">
        <v>-1276325</v>
      </c>
      <c r="X46" s="167"/>
      <c r="Y46" s="156">
        <f>Y45-K46-L46</f>
        <v>-1276325</v>
      </c>
      <c r="Z46" s="217"/>
      <c r="AD46" s="1"/>
      <c r="AE46" s="1"/>
    </row>
    <row r="47" spans="2:31">
      <c r="B47" s="116">
        <v>43808</v>
      </c>
      <c r="C47" s="14" t="str">
        <f t="shared" si="0"/>
        <v/>
      </c>
      <c r="D47" s="250"/>
      <c r="E47" s="250">
        <v>1</v>
      </c>
      <c r="F47" s="251">
        <v>-293167</v>
      </c>
      <c r="G47" s="252">
        <f>D47+E47+F47-E44-F44</f>
        <v>-13606</v>
      </c>
      <c r="H47" s="253">
        <v>-2700</v>
      </c>
      <c r="I47" s="254">
        <v>700</v>
      </c>
      <c r="J47" s="254">
        <v>-800</v>
      </c>
      <c r="K47" s="255">
        <f t="shared" si="8"/>
        <v>-2800</v>
      </c>
      <c r="L47" s="171">
        <v>24</v>
      </c>
      <c r="M47" s="153"/>
      <c r="N47" s="149">
        <f t="shared" si="6"/>
        <v>-16382</v>
      </c>
      <c r="O47" s="67">
        <f t="shared" si="2"/>
        <v>1500977.9024390252</v>
      </c>
      <c r="P47" s="7">
        <f t="shared" si="4"/>
        <v>61540094.000000037</v>
      </c>
      <c r="Q47" s="164">
        <f>Q46+N47-1</f>
        <v>1645616.35</v>
      </c>
      <c r="R47" s="29">
        <f t="shared" si="3"/>
        <v>1246.6484957364582</v>
      </c>
      <c r="S47" s="5">
        <f>SUM($Q$7:$Q47)/T47</f>
        <v>1672191.9597560985</v>
      </c>
      <c r="T47" s="18">
        <v>41</v>
      </c>
      <c r="U47" s="138">
        <f>B47</f>
        <v>43808</v>
      </c>
      <c r="V47" s="131" t="s">
        <v>300</v>
      </c>
      <c r="W47" s="105">
        <v>-1273549</v>
      </c>
      <c r="X47" s="167">
        <f>AVERAGE(W47:W69)</f>
        <v>-1259108.888888889</v>
      </c>
      <c r="Y47" s="156">
        <f t="shared" ref="Y47:Y53" si="13">Y46-K47-L47</f>
        <v>-1273549</v>
      </c>
      <c r="Z47" s="217"/>
      <c r="AD47" s="1"/>
      <c r="AE47" s="1"/>
    </row>
    <row r="48" spans="2:31">
      <c r="B48" s="116">
        <v>43809</v>
      </c>
      <c r="C48" s="14" t="str">
        <f t="shared" si="0"/>
        <v/>
      </c>
      <c r="D48" s="250"/>
      <c r="E48" s="250">
        <v>43</v>
      </c>
      <c r="F48" s="251">
        <v>-307393</v>
      </c>
      <c r="G48" s="252">
        <f>D48+E48+F48-E47-F47</f>
        <v>-14184</v>
      </c>
      <c r="H48" s="253">
        <v>500</v>
      </c>
      <c r="I48" s="254">
        <v>-3900</v>
      </c>
      <c r="J48" s="254">
        <v>-800</v>
      </c>
      <c r="K48" s="255">
        <f t="shared" si="8"/>
        <v>-4200</v>
      </c>
      <c r="L48" s="171">
        <v>25</v>
      </c>
      <c r="M48" s="153"/>
      <c r="N48" s="149">
        <f t="shared" si="6"/>
        <v>-18359</v>
      </c>
      <c r="O48" s="67">
        <f t="shared" si="2"/>
        <v>1500790.8654761915</v>
      </c>
      <c r="P48" s="7">
        <f t="shared" si="4"/>
        <v>63033216.350000039</v>
      </c>
      <c r="Q48" s="164">
        <f t="shared" si="12"/>
        <v>1627257.35</v>
      </c>
      <c r="R48" s="29">
        <f t="shared" si="3"/>
        <v>1245.850887609676</v>
      </c>
      <c r="S48" s="5">
        <f>SUM($Q$7:$Q48)/T48</f>
        <v>1671122.0880952389</v>
      </c>
      <c r="T48" s="18">
        <v>42</v>
      </c>
      <c r="U48" s="138">
        <f>B47+8</f>
        <v>43816</v>
      </c>
      <c r="V48" s="131">
        <v>1343.1</v>
      </c>
      <c r="W48" s="105">
        <v>-1269375</v>
      </c>
      <c r="X48" s="167"/>
      <c r="Y48" s="156">
        <f>Y47-K48-L48-1</f>
        <v>-1269375</v>
      </c>
      <c r="Z48" s="217"/>
      <c r="AD48" s="1"/>
      <c r="AE48" s="1"/>
    </row>
    <row r="49" spans="2:31">
      <c r="B49" s="116">
        <v>43810</v>
      </c>
      <c r="C49" s="14" t="str">
        <f t="shared" ref="C49:C55" si="14">IF(OR(WEEKDAY(B49)=1,WEEKDAY(B49)=7),"F","")</f>
        <v/>
      </c>
      <c r="D49" s="250">
        <f>-1388+1395</f>
        <v>7</v>
      </c>
      <c r="E49" s="250">
        <v>47</v>
      </c>
      <c r="F49" s="251">
        <v>-313522</v>
      </c>
      <c r="G49" s="252">
        <f t="shared" ref="G49:G53" si="15">D49+E49+F49-E48-F48</f>
        <v>-6118</v>
      </c>
      <c r="H49" s="253">
        <v>500</v>
      </c>
      <c r="I49" s="254">
        <v>-4700</v>
      </c>
      <c r="J49" s="254">
        <v>-900</v>
      </c>
      <c r="K49" s="255">
        <f t="shared" ref="K49:K55" si="16">+H49+I49+J49</f>
        <v>-5100</v>
      </c>
      <c r="L49" s="171">
        <v>-42</v>
      </c>
      <c r="M49" s="153"/>
      <c r="N49" s="149">
        <f t="shared" ref="N49:N55" si="17">L49+K49+G49+M49</f>
        <v>-11260</v>
      </c>
      <c r="O49" s="67">
        <f t="shared" ref="O49:O55" si="18">P49/T49</f>
        <v>1500350.7139534892</v>
      </c>
      <c r="P49" s="7">
        <f t="shared" si="4"/>
        <v>64515080.70000004</v>
      </c>
      <c r="Q49" s="164">
        <f>Q48+N49+2</f>
        <v>1615999.35</v>
      </c>
      <c r="R49" s="29">
        <f t="shared" si="3"/>
        <v>1244.8951906314453</v>
      </c>
      <c r="S49" s="5">
        <f>SUM($Q$7:$Q49)/T49</f>
        <v>1669840.1639534889</v>
      </c>
      <c r="T49" s="18">
        <v>43</v>
      </c>
      <c r="U49" s="138"/>
      <c r="V49" s="131"/>
      <c r="W49" s="105">
        <v>-1264233</v>
      </c>
      <c r="X49" s="167"/>
      <c r="Y49" s="156">
        <f t="shared" si="13"/>
        <v>-1264233</v>
      </c>
      <c r="Z49" s="217"/>
      <c r="AD49" s="1"/>
      <c r="AE49" s="1"/>
    </row>
    <row r="50" spans="2:31">
      <c r="B50" s="116">
        <v>43811</v>
      </c>
      <c r="C50" s="14" t="str">
        <f t="shared" si="14"/>
        <v/>
      </c>
      <c r="D50" s="250"/>
      <c r="E50" s="250">
        <v>12</v>
      </c>
      <c r="F50" s="251">
        <v>-310733</v>
      </c>
      <c r="G50" s="252">
        <f t="shared" si="15"/>
        <v>2754</v>
      </c>
      <c r="H50" s="253">
        <v>500</v>
      </c>
      <c r="I50" s="254">
        <v>-4200</v>
      </c>
      <c r="J50" s="254">
        <v>-900</v>
      </c>
      <c r="K50" s="255">
        <f t="shared" si="16"/>
        <v>-4600</v>
      </c>
      <c r="L50" s="171">
        <v>-15</v>
      </c>
      <c r="M50" s="153"/>
      <c r="N50" s="149">
        <f t="shared" si="17"/>
        <v>-1861</v>
      </c>
      <c r="O50" s="67">
        <f t="shared" si="18"/>
        <v>1499888.2511363646</v>
      </c>
      <c r="P50" s="7">
        <f t="shared" si="4"/>
        <v>65995083.050000042</v>
      </c>
      <c r="Q50" s="164">
        <f>Q49+N50-1</f>
        <v>1614137.35</v>
      </c>
      <c r="R50" s="29">
        <f t="shared" si="3"/>
        <v>1243.9402027130066</v>
      </c>
      <c r="S50" s="5">
        <f>SUM($Q$7:$Q50)/T50-15</f>
        <v>1668559.1909090914</v>
      </c>
      <c r="T50" s="18">
        <v>44</v>
      </c>
      <c r="U50" s="138"/>
      <c r="V50" s="131"/>
      <c r="W50" s="105">
        <v>-1259619</v>
      </c>
      <c r="X50" s="167"/>
      <c r="Y50" s="156">
        <f>Y49-K50-L50-1</f>
        <v>-1259619</v>
      </c>
      <c r="Z50" s="217"/>
      <c r="AD50" s="1"/>
      <c r="AE50" s="1"/>
    </row>
    <row r="51" spans="2:31">
      <c r="B51" s="116">
        <v>43812</v>
      </c>
      <c r="C51" s="14" t="str">
        <f t="shared" si="14"/>
        <v/>
      </c>
      <c r="D51" s="250"/>
      <c r="E51" s="250">
        <v>17</v>
      </c>
      <c r="F51" s="251">
        <v>-297962</v>
      </c>
      <c r="G51" s="252">
        <f t="shared" si="15"/>
        <v>12776</v>
      </c>
      <c r="H51" s="253">
        <v>5500</v>
      </c>
      <c r="I51" s="254">
        <v>-2200</v>
      </c>
      <c r="J51" s="254">
        <v>-900</v>
      </c>
      <c r="K51" s="255">
        <f t="shared" si="16"/>
        <v>2400</v>
      </c>
      <c r="L51" s="171">
        <v>35</v>
      </c>
      <c r="M51" s="153"/>
      <c r="N51" s="149">
        <f t="shared" si="17"/>
        <v>15211</v>
      </c>
      <c r="O51" s="67">
        <f t="shared" si="18"/>
        <v>1499784.4088888897</v>
      </c>
      <c r="P51" s="7">
        <f t="shared" si="4"/>
        <v>67490298.400000036</v>
      </c>
      <c r="Q51" s="164">
        <f>Q50+N51+2</f>
        <v>1629350.35</v>
      </c>
      <c r="R51" s="29">
        <f t="shared" si="3"/>
        <v>1243.3015618593211</v>
      </c>
      <c r="S51" s="5">
        <f>SUM($Q$7:$Q51)/T51</f>
        <v>1667702.5500000003</v>
      </c>
      <c r="T51" s="18">
        <v>45</v>
      </c>
      <c r="U51" s="138"/>
      <c r="V51" s="131"/>
      <c r="W51" s="105">
        <v>-1262055</v>
      </c>
      <c r="X51" s="167"/>
      <c r="Y51" s="156">
        <f>Y50-K51-L51-1</f>
        <v>-1262055</v>
      </c>
      <c r="Z51" s="217"/>
      <c r="AD51" s="1"/>
      <c r="AE51" s="1"/>
    </row>
    <row r="52" spans="2:31">
      <c r="B52" s="116">
        <v>43813</v>
      </c>
      <c r="C52" s="14" t="str">
        <f t="shared" si="14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17"/>
        <v>0</v>
      </c>
      <c r="O52" s="67">
        <f t="shared" si="18"/>
        <v>1499685.0815217397</v>
      </c>
      <c r="P52" s="7">
        <f t="shared" si="4"/>
        <v>68985513.75000003</v>
      </c>
      <c r="Q52" s="164">
        <f t="shared" ref="Q52:Q53" si="19">Q51+N52</f>
        <v>1629350.35</v>
      </c>
      <c r="R52" s="29">
        <f t="shared" si="3"/>
        <v>1242.679991442755</v>
      </c>
      <c r="S52" s="5">
        <f>SUM($Q$7:$Q52)/T52</f>
        <v>1666868.8065217393</v>
      </c>
      <c r="T52" s="18">
        <v>46</v>
      </c>
      <c r="U52" s="138"/>
      <c r="V52" s="131"/>
      <c r="W52" s="105">
        <v>-1262055</v>
      </c>
      <c r="X52" s="167"/>
      <c r="Y52" s="156">
        <f t="shared" si="13"/>
        <v>-1262055</v>
      </c>
      <c r="Z52" s="217"/>
      <c r="AD52" s="1"/>
      <c r="AE52" s="1"/>
    </row>
    <row r="53" spans="2:31" ht="11.25" customHeight="1">
      <c r="B53" s="116">
        <v>43814</v>
      </c>
      <c r="C53" s="14" t="str">
        <f t="shared" si="14"/>
        <v>F</v>
      </c>
      <c r="D53" s="250"/>
      <c r="E53" s="250"/>
      <c r="F53" s="251"/>
      <c r="G53" s="252">
        <f t="shared" si="15"/>
        <v>0</v>
      </c>
      <c r="H53" s="253"/>
      <c r="I53" s="254"/>
      <c r="J53" s="254"/>
      <c r="K53" s="255"/>
      <c r="L53" s="171"/>
      <c r="M53" s="153"/>
      <c r="N53" s="149">
        <f t="shared" si="17"/>
        <v>0</v>
      </c>
      <c r="O53" s="67">
        <f t="shared" si="18"/>
        <v>1499589.9808510644</v>
      </c>
      <c r="P53" s="7">
        <f t="shared" si="4"/>
        <v>70480729.100000024</v>
      </c>
      <c r="Q53" s="164">
        <f t="shared" si="19"/>
        <v>1629350.35</v>
      </c>
      <c r="R53" s="29">
        <f t="shared" si="3"/>
        <v>1242.0848708311491</v>
      </c>
      <c r="S53" s="5">
        <f>SUM($Q$7:$Q53)/T53</f>
        <v>1666070.5414893618</v>
      </c>
      <c r="T53" s="18">
        <v>47</v>
      </c>
      <c r="U53" s="138"/>
      <c r="V53" s="131"/>
      <c r="W53" s="105">
        <v>-1262055</v>
      </c>
      <c r="X53" s="167"/>
      <c r="Y53" s="156">
        <f t="shared" si="13"/>
        <v>-1262055</v>
      </c>
      <c r="Z53" s="217"/>
      <c r="AD53" s="1"/>
      <c r="AE53" s="1"/>
    </row>
    <row r="54" spans="2:31">
      <c r="B54" s="116">
        <v>43815</v>
      </c>
      <c r="C54" s="14" t="str">
        <f t="shared" si="14"/>
        <v/>
      </c>
      <c r="D54" s="250"/>
      <c r="E54" s="250">
        <v>12</v>
      </c>
      <c r="F54" s="251">
        <v>-331870</v>
      </c>
      <c r="G54" s="252">
        <f>D54+E54+F54-E51-F51</f>
        <v>-33913</v>
      </c>
      <c r="H54" s="253">
        <v>500</v>
      </c>
      <c r="I54" s="254">
        <v>-20300</v>
      </c>
      <c r="J54" s="254">
        <v>-2100</v>
      </c>
      <c r="K54" s="255">
        <f t="shared" si="16"/>
        <v>-21900</v>
      </c>
      <c r="L54" s="171">
        <v>21</v>
      </c>
      <c r="M54" s="153"/>
      <c r="N54" s="149">
        <f t="shared" si="17"/>
        <v>-55792</v>
      </c>
      <c r="O54" s="67">
        <f t="shared" si="18"/>
        <v>1498336.5510416671</v>
      </c>
      <c r="P54" s="7">
        <f t="shared" si="4"/>
        <v>71920154.450000018</v>
      </c>
      <c r="Q54" s="164">
        <f>Q53+N54+2</f>
        <v>1573560.35</v>
      </c>
      <c r="R54" s="29">
        <f t="shared" si="3"/>
        <v>1240.6480380462469</v>
      </c>
      <c r="S54" s="5">
        <f>SUM($Q$7:$Q54)/T54</f>
        <v>1664143.2458333333</v>
      </c>
      <c r="T54" s="18">
        <v>48</v>
      </c>
      <c r="U54" s="138"/>
      <c r="V54" s="131"/>
      <c r="W54" s="105">
        <v>-1240179</v>
      </c>
      <c r="X54" s="167"/>
      <c r="Y54" s="156">
        <f>Y53-K54-L54-3</f>
        <v>-1240179</v>
      </c>
      <c r="Z54" s="217"/>
      <c r="AD54" s="1"/>
      <c r="AE54" s="1"/>
    </row>
    <row r="55" spans="2:31" ht="12.75" thickBot="1">
      <c r="B55" s="220">
        <v>43816</v>
      </c>
      <c r="C55" s="221" t="str">
        <f t="shared" si="14"/>
        <v/>
      </c>
      <c r="D55" s="222"/>
      <c r="E55" s="222">
        <v>15</v>
      </c>
      <c r="F55" s="223">
        <v>-337851</v>
      </c>
      <c r="G55" s="224">
        <f>D55+E55+F55-E54-F54</f>
        <v>-5978</v>
      </c>
      <c r="H55" s="225">
        <v>500</v>
      </c>
      <c r="I55" s="226">
        <v>300</v>
      </c>
      <c r="J55" s="226">
        <v>-2100</v>
      </c>
      <c r="K55" s="173">
        <f t="shared" si="16"/>
        <v>-1300</v>
      </c>
      <c r="L55" s="174">
        <v>-20</v>
      </c>
      <c r="M55" s="229"/>
      <c r="N55" s="230">
        <f t="shared" si="17"/>
        <v>-7298</v>
      </c>
      <c r="O55" s="231">
        <f t="shared" si="18"/>
        <v>1496985.3632653065</v>
      </c>
      <c r="P55" s="232">
        <f t="shared" si="4"/>
        <v>73352282.800000012</v>
      </c>
      <c r="Q55" s="233">
        <f>Q54+N55+1</f>
        <v>1566263.35</v>
      </c>
      <c r="R55" s="234">
        <f t="shared" si="3"/>
        <v>1239.1483929912217</v>
      </c>
      <c r="S55" s="235">
        <f>SUM($Q$7:$Q55)/T55-14</f>
        <v>1662131.6969387752</v>
      </c>
      <c r="T55" s="236">
        <v>49</v>
      </c>
      <c r="U55" s="237"/>
      <c r="V55" s="244"/>
      <c r="W55" s="239">
        <v>-1238860</v>
      </c>
      <c r="X55" s="240"/>
      <c r="Y55" s="241">
        <f>Y54-K55-L55-1</f>
        <v>-1238860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'Oct 2019'!Q48</f>
        <v>1399228.35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'Oct 2019'!E48</f>
        <v>53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'Oct 2019'!F48</f>
        <v>-462532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'Oct 2019'!Y48</f>
        <v>-1196881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B1:IV65524"/>
  <sheetViews>
    <sheetView zoomScaleNormal="100" workbookViewId="0">
      <pane xSplit="2" ySplit="6" topLeftCell="F43" activePane="bottomRight" state="frozen"/>
      <selection pane="topRight" activeCell="C1" sqref="C1"/>
      <selection pane="bottomLeft" activeCell="A7" sqref="A7"/>
      <selection pane="bottomRight" activeCell="H26" sqref="H26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8554687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3" width="18.140625" style="1" customWidth="1"/>
    <col min="24" max="24" width="13.28515625" style="1" customWidth="1"/>
    <col min="25" max="25" width="13.7109375" style="1" customWidth="1"/>
    <col min="26" max="26" width="13.5703125" style="1" bestFit="1" customWidth="1"/>
    <col min="27" max="27" width="13" style="1" bestFit="1" customWidth="1"/>
    <col min="28" max="28" width="8.85546875" style="1" hidden="1" customWidth="1"/>
    <col min="29" max="30" width="9.140625" style="1"/>
    <col min="31" max="31" width="9.140625" style="2"/>
    <col min="32" max="32" width="9.85546875" style="3" customWidth="1"/>
    <col min="33" max="33" width="9.140625" style="1"/>
    <col min="34" max="34" width="9.7109375" style="1" customWidth="1"/>
    <col min="35" max="16384" width="9.140625" style="1"/>
  </cols>
  <sheetData>
    <row r="1" spans="2:256">
      <c r="D1" s="126"/>
    </row>
    <row r="2" spans="2:256" ht="12.75" thickBot="1">
      <c r="AA2" s="92"/>
    </row>
    <row r="3" spans="2:256" ht="16.5" thickBot="1">
      <c r="M3" s="64" t="s">
        <v>51</v>
      </c>
      <c r="N3" s="64"/>
      <c r="O3" s="65"/>
      <c r="P3" s="16"/>
      <c r="Q3" s="74">
        <v>134477</v>
      </c>
      <c r="R3" s="28"/>
    </row>
    <row r="4" spans="2:256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/>
      <c r="X4" s="113" t="s">
        <v>46</v>
      </c>
      <c r="Y4" s="44"/>
      <c r="Z4" s="45"/>
      <c r="AA4" s="114"/>
    </row>
    <row r="5" spans="2:256">
      <c r="B5" s="107"/>
      <c r="C5" s="108"/>
      <c r="D5" s="36" t="s">
        <v>42</v>
      </c>
      <c r="E5" s="36" t="s">
        <v>1</v>
      </c>
      <c r="F5" s="37" t="s">
        <v>3</v>
      </c>
      <c r="G5" s="38"/>
      <c r="H5" s="117" t="s">
        <v>47</v>
      </c>
      <c r="I5" s="117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113"/>
      <c r="X5" s="43"/>
      <c r="Y5" s="44"/>
      <c r="Z5" s="45" t="s">
        <v>57</v>
      </c>
      <c r="AA5" s="114"/>
    </row>
    <row r="6" spans="2:256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275"/>
      <c r="X6" s="60"/>
      <c r="Y6" s="61"/>
      <c r="Z6" s="62"/>
      <c r="AA6" s="115"/>
    </row>
    <row r="7" spans="2:256">
      <c r="B7" s="195">
        <v>43817</v>
      </c>
      <c r="C7" s="196" t="str">
        <f t="shared" ref="C7:C47" si="0">IF(OR(WEEKDAY(B7)=1,WEEKDAY(B7)=7),"F","")</f>
        <v/>
      </c>
      <c r="D7" s="197">
        <f>-1395-146808+97718+2484</f>
        <v>-48001</v>
      </c>
      <c r="E7" s="197">
        <v>27</v>
      </c>
      <c r="F7" s="198">
        <v>-264686</v>
      </c>
      <c r="G7" s="199">
        <f>D7+E7+F7-G52-G53</f>
        <v>25176</v>
      </c>
      <c r="H7" s="200">
        <v>-6700</v>
      </c>
      <c r="I7" s="201">
        <v>8600</v>
      </c>
      <c r="J7" s="201">
        <v>-2100</v>
      </c>
      <c r="K7" s="201">
        <f>+H7+I7+J7</f>
        <v>-200</v>
      </c>
      <c r="L7" s="202">
        <v>23</v>
      </c>
      <c r="M7" s="203"/>
      <c r="N7" s="204">
        <f>L7+K7+G7+M7</f>
        <v>24999</v>
      </c>
      <c r="O7" s="205">
        <f t="shared" ref="O7:O47" si="1">P7/T7</f>
        <v>1456785.35</v>
      </c>
      <c r="P7" s="206">
        <f>(+$Q7-$Q$3)</f>
        <v>1456785.35</v>
      </c>
      <c r="Q7" s="207">
        <f>G51+N7</f>
        <v>1591262.35</v>
      </c>
      <c r="R7" s="208">
        <f t="shared" ref="R7:R48" si="2">$S7/$Q$3*100</f>
        <v>1183.2970322062511</v>
      </c>
      <c r="S7" s="209">
        <f>$Q7</f>
        <v>1591262.35</v>
      </c>
      <c r="T7" s="210">
        <v>1</v>
      </c>
      <c r="U7" s="211" t="s">
        <v>303</v>
      </c>
      <c r="V7" s="283">
        <f>+B7</f>
        <v>43817</v>
      </c>
      <c r="W7" s="277" t="s">
        <v>305</v>
      </c>
      <c r="X7" s="274">
        <v>-1238683</v>
      </c>
      <c r="Y7" s="214">
        <f>AVERAGE(X7:X11)</f>
        <v>-1249990.8</v>
      </c>
      <c r="Z7" s="215">
        <f>-L7-K7+'Dec 2019'!Y55</f>
        <v>-1238683</v>
      </c>
      <c r="AA7" s="216">
        <f>AVERAGE(Z7:Z11)</f>
        <v>-1249990.8</v>
      </c>
      <c r="AB7" s="92"/>
    </row>
    <row r="8" spans="2:256">
      <c r="B8" s="116">
        <v>43818</v>
      </c>
      <c r="C8" s="14"/>
      <c r="D8" s="128">
        <f>-848+2282</f>
        <v>1434</v>
      </c>
      <c r="E8" s="128">
        <v>54</v>
      </c>
      <c r="F8" s="162">
        <v>-253437</v>
      </c>
      <c r="G8" s="26">
        <f>D8+E8+F8-E7-F7</f>
        <v>12710</v>
      </c>
      <c r="H8" s="132">
        <v>-19100</v>
      </c>
      <c r="I8" s="63">
        <v>19700</v>
      </c>
      <c r="J8" s="63">
        <v>-2100</v>
      </c>
      <c r="K8" s="63">
        <f>+H8+I8+J8+1</f>
        <v>-1499</v>
      </c>
      <c r="L8" s="150">
        <v>28</v>
      </c>
      <c r="M8" s="153"/>
      <c r="N8" s="149">
        <f>L8+K8+G8+M8</f>
        <v>11239</v>
      </c>
      <c r="O8" s="67">
        <f t="shared" si="1"/>
        <v>734008.67500000005</v>
      </c>
      <c r="P8" s="163">
        <f>(IF($Q8&lt;0,-$Q$3+P6,($Q8-$Q$3)+P6))</f>
        <v>1468017.35</v>
      </c>
      <c r="Q8" s="164">
        <f>Q7+N8-7</f>
        <v>1602494.35</v>
      </c>
      <c r="R8" s="29">
        <f t="shared" si="2"/>
        <v>1187.4732110323698</v>
      </c>
      <c r="S8" s="165">
        <f>SUM($Q$7:$Q8)/T8</f>
        <v>1596878.35</v>
      </c>
      <c r="T8" s="166">
        <v>2</v>
      </c>
      <c r="U8" s="138" t="s">
        <v>304</v>
      </c>
      <c r="V8" s="270">
        <f>+V7+4</f>
        <v>43821</v>
      </c>
      <c r="W8" s="278">
        <v>1393.4</v>
      </c>
      <c r="X8" s="187">
        <v>-1237211</v>
      </c>
      <c r="Y8" s="167"/>
      <c r="Z8" s="156">
        <f>Z7-K8-L8+1</f>
        <v>-1237211</v>
      </c>
      <c r="AA8" s="217"/>
      <c r="AB8" s="92"/>
    </row>
    <row r="9" spans="2:256">
      <c r="B9" s="116">
        <v>43819</v>
      </c>
      <c r="C9" s="14" t="str">
        <f t="shared" si="0"/>
        <v/>
      </c>
      <c r="D9" s="87"/>
      <c r="E9" s="87">
        <v>280</v>
      </c>
      <c r="F9" s="23">
        <v>-247199</v>
      </c>
      <c r="G9" s="26">
        <f>D9+E9+F9-E8-F8</f>
        <v>6464</v>
      </c>
      <c r="H9" s="132">
        <v>-1100</v>
      </c>
      <c r="I9" s="63">
        <v>24000</v>
      </c>
      <c r="J9" s="63">
        <v>-2100</v>
      </c>
      <c r="K9" s="63">
        <f t="shared" ref="K9:K47" si="3">+H9+I9+J9</f>
        <v>20800</v>
      </c>
      <c r="L9" s="150">
        <v>16</v>
      </c>
      <c r="M9" s="153"/>
      <c r="N9" s="149">
        <f>L9+K9+G9+M9</f>
        <v>27280</v>
      </c>
      <c r="O9" s="67">
        <f t="shared" si="1"/>
        <v>984027.56666666677</v>
      </c>
      <c r="P9" s="7">
        <f>(IF($Q9&lt;0,-$Q$3+P7,($Q9-$Q$3)+P7))</f>
        <v>2952082.7</v>
      </c>
      <c r="Q9" s="164">
        <f>Q8+N9</f>
        <v>1629774.35</v>
      </c>
      <c r="R9" s="29">
        <f t="shared" si="2"/>
        <v>1195.6272695950486</v>
      </c>
      <c r="S9" s="5">
        <f>SUM($Q$7:$Q9)/T9</f>
        <v>1607843.6833333336</v>
      </c>
      <c r="T9" s="17">
        <v>3</v>
      </c>
      <c r="U9" s="4"/>
      <c r="V9" s="271"/>
      <c r="W9" s="279"/>
      <c r="X9" s="187">
        <v>-1258020</v>
      </c>
      <c r="Y9" s="167"/>
      <c r="Z9" s="156">
        <f>Z8-K9-L9+7</f>
        <v>-1258020</v>
      </c>
      <c r="AA9" s="217"/>
      <c r="AB9" s="92"/>
    </row>
    <row r="10" spans="2:256">
      <c r="B10" s="116">
        <v>43820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1111845.0125000002</v>
      </c>
      <c r="P10" s="7">
        <f t="shared" ref="P10:P48" si="4">(IF($Q10&lt;0,-$Q$3+P9,($Q10-$Q$3)+P9))</f>
        <v>4447380.0500000007</v>
      </c>
      <c r="Q10" s="164">
        <f t="shared" ref="Q10:Q47" si="5">Q9+N10</f>
        <v>1629774.35</v>
      </c>
      <c r="R10" s="29">
        <f t="shared" si="2"/>
        <v>1199.703555254802</v>
      </c>
      <c r="S10" s="5">
        <f>SUM($Q$7:$Q10)/T10-1</f>
        <v>1613325.35</v>
      </c>
      <c r="T10" s="17">
        <v>4</v>
      </c>
      <c r="U10" s="27"/>
      <c r="V10" s="271"/>
      <c r="W10" s="279"/>
      <c r="X10" s="187">
        <v>-1258020</v>
      </c>
      <c r="Y10" s="167"/>
      <c r="Z10" s="156">
        <f>Z9-K10-L10</f>
        <v>-1258020</v>
      </c>
      <c r="AA10" s="217"/>
      <c r="AB10" s="92"/>
    </row>
    <row r="11" spans="2:256">
      <c r="B11" s="116">
        <v>43821</v>
      </c>
      <c r="C11" s="14" t="str">
        <f t="shared" si="0"/>
        <v>F</v>
      </c>
      <c r="D11" s="128"/>
      <c r="E11" s="87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1188535.48</v>
      </c>
      <c r="P11" s="7">
        <f t="shared" si="4"/>
        <v>5942677.4000000004</v>
      </c>
      <c r="Q11" s="164">
        <f t="shared" si="5"/>
        <v>1629774.35</v>
      </c>
      <c r="R11" s="29">
        <f t="shared" si="2"/>
        <v>1202.1505164451912</v>
      </c>
      <c r="S11" s="5">
        <f>SUM($Q$7:$Q11)/T11</f>
        <v>1616615.95</v>
      </c>
      <c r="T11" s="17">
        <v>5</v>
      </c>
      <c r="U11" s="27"/>
      <c r="V11" s="271"/>
      <c r="W11" s="279"/>
      <c r="X11" s="187">
        <v>-1258020</v>
      </c>
      <c r="Y11" s="167"/>
      <c r="Z11" s="156">
        <f t="shared" ref="Z11:Z47" si="7">Z10-K11-L11</f>
        <v>-1258020</v>
      </c>
      <c r="AA11" s="217"/>
      <c r="AB11" s="92"/>
    </row>
    <row r="12" spans="2:256">
      <c r="B12" s="116">
        <v>43822</v>
      </c>
      <c r="C12" s="14"/>
      <c r="D12" s="87">
        <f>-2484+7903.5</f>
        <v>5419.5</v>
      </c>
      <c r="E12" s="161">
        <v>34</v>
      </c>
      <c r="F12" s="23">
        <v>-252433</v>
      </c>
      <c r="G12" s="26">
        <f>D12+E12+F12-E9-F9</f>
        <v>-60.5</v>
      </c>
      <c r="H12" s="132">
        <v>-4500</v>
      </c>
      <c r="I12" s="63">
        <v>1950</v>
      </c>
      <c r="J12" s="63">
        <v>-2100</v>
      </c>
      <c r="K12" s="63">
        <f t="shared" si="3"/>
        <v>-4650</v>
      </c>
      <c r="L12" s="150">
        <v>-23</v>
      </c>
      <c r="M12" s="153"/>
      <c r="N12" s="149">
        <f t="shared" si="6"/>
        <v>-4733.5</v>
      </c>
      <c r="O12" s="67">
        <f t="shared" si="1"/>
        <v>1238873.5416666667</v>
      </c>
      <c r="P12" s="7">
        <f t="shared" si="4"/>
        <v>7433241.25</v>
      </c>
      <c r="Q12" s="164">
        <f>Q11+N12</f>
        <v>1625040.85</v>
      </c>
      <c r="R12" s="29">
        <f t="shared" si="2"/>
        <v>1203.1946726949589</v>
      </c>
      <c r="S12" s="5">
        <f>SUM($Q$7:$Q12)/T12</f>
        <v>1618020.0999999999</v>
      </c>
      <c r="T12" s="17">
        <v>6</v>
      </c>
      <c r="U12" s="138" t="s">
        <v>301</v>
      </c>
      <c r="V12" s="270">
        <f>+B12</f>
        <v>43822</v>
      </c>
      <c r="W12" s="280" t="s">
        <v>307</v>
      </c>
      <c r="X12" s="187">
        <v>-1253348</v>
      </c>
      <c r="Y12" s="167">
        <f>AVERAGE(X12:X20)</f>
        <v>-1232235.2222222222</v>
      </c>
      <c r="Z12" s="156">
        <f>Z11-K12-L12-1</f>
        <v>-1253348</v>
      </c>
      <c r="AA12" s="217">
        <f>AVERAGE(Z12:Z22)</f>
        <v>-1227618.3636363635</v>
      </c>
      <c r="AB12" s="92"/>
    </row>
    <row r="13" spans="2:256">
      <c r="B13" s="116">
        <v>43823</v>
      </c>
      <c r="C13" s="14"/>
      <c r="D13" s="87"/>
      <c r="E13" s="87">
        <v>2</v>
      </c>
      <c r="F13" s="23">
        <v>-251212</v>
      </c>
      <c r="G13" s="26">
        <f>D13+E13+F13-E12-F12</f>
        <v>1189</v>
      </c>
      <c r="H13" s="132">
        <v>200</v>
      </c>
      <c r="I13" s="63">
        <v>-2650</v>
      </c>
      <c r="J13" s="63">
        <v>-2100</v>
      </c>
      <c r="K13" s="63">
        <f t="shared" si="3"/>
        <v>-4550</v>
      </c>
      <c r="L13" s="150">
        <v>-11</v>
      </c>
      <c r="M13" s="153"/>
      <c r="N13" s="149">
        <f t="shared" si="6"/>
        <v>-3372</v>
      </c>
      <c r="O13" s="67">
        <f t="shared" si="1"/>
        <v>1274347.5857142857</v>
      </c>
      <c r="P13" s="7">
        <f>(IF($Q13&lt;0,-$Q$3+P12,($Q13-$Q$3)+P12))</f>
        <v>8920433.0999999996</v>
      </c>
      <c r="Q13" s="164">
        <f>Q12+N13</f>
        <v>1621668.85</v>
      </c>
      <c r="R13" s="29">
        <f t="shared" si="2"/>
        <v>1203.5822854465819</v>
      </c>
      <c r="S13" s="5">
        <f>SUM($Q$7:$Q13)/T13</f>
        <v>1618541.3499999999</v>
      </c>
      <c r="T13" s="17">
        <v>7</v>
      </c>
      <c r="U13" s="138" t="s">
        <v>302</v>
      </c>
      <c r="V13" s="270">
        <f>+V12+7</f>
        <v>43829</v>
      </c>
      <c r="W13" s="280">
        <v>1378</v>
      </c>
      <c r="X13" s="187">
        <v>-1248786</v>
      </c>
      <c r="Y13" s="167"/>
      <c r="Z13" s="156">
        <f>Z12-K13-L13+1</f>
        <v>-1248786</v>
      </c>
      <c r="AA13" s="217"/>
      <c r="AB13" s="92"/>
      <c r="AC13" s="92"/>
    </row>
    <row r="14" spans="2:256">
      <c r="B14" s="116">
        <v>43824</v>
      </c>
      <c r="C14" s="14" t="s">
        <v>242</v>
      </c>
      <c r="D14" s="87"/>
      <c r="E14" s="87"/>
      <c r="F14" s="23"/>
      <c r="G14" s="26"/>
      <c r="H14" s="132"/>
      <c r="I14" s="63"/>
      <c r="J14" s="63"/>
      <c r="K14" s="63"/>
      <c r="L14" s="150"/>
      <c r="M14" s="154"/>
      <c r="N14" s="149">
        <f>L14+K14+G14+M14</f>
        <v>0</v>
      </c>
      <c r="O14" s="67">
        <f t="shared" si="1"/>
        <v>1300953.1187499999</v>
      </c>
      <c r="P14" s="7">
        <f t="shared" si="4"/>
        <v>10407624.949999999</v>
      </c>
      <c r="Q14" s="164">
        <f>Q13+N14</f>
        <v>1621668.85</v>
      </c>
      <c r="R14" s="29">
        <f t="shared" si="2"/>
        <v>1203.8729950102991</v>
      </c>
      <c r="S14" s="5">
        <f>SUM($Q$7:$Q14)/T14</f>
        <v>1618932.2874999999</v>
      </c>
      <c r="T14" s="17">
        <v>8</v>
      </c>
      <c r="U14" s="4"/>
      <c r="V14" s="271"/>
      <c r="W14" s="279"/>
      <c r="X14" s="187">
        <v>-1248786</v>
      </c>
      <c r="Y14" s="4"/>
      <c r="Z14" s="156">
        <f>Z13-K14-L14</f>
        <v>-1248786</v>
      </c>
      <c r="AA14" s="217"/>
      <c r="AB14" s="92"/>
    </row>
    <row r="15" spans="2:256">
      <c r="B15" s="116">
        <v>43825</v>
      </c>
      <c r="C15" s="14" t="s">
        <v>242</v>
      </c>
      <c r="D15" s="87"/>
      <c r="E15" s="87"/>
      <c r="F15" s="23"/>
      <c r="G15" s="26"/>
      <c r="H15" s="132"/>
      <c r="I15" s="63"/>
      <c r="J15" s="63"/>
      <c r="K15" s="63"/>
      <c r="L15" s="273">
        <v>42</v>
      </c>
      <c r="M15" s="153"/>
      <c r="N15" s="149">
        <f>L15+K15+G15+M15</f>
        <v>42</v>
      </c>
      <c r="O15" s="67">
        <f t="shared" si="1"/>
        <v>1321651.0888888887</v>
      </c>
      <c r="P15" s="7">
        <f t="shared" si="4"/>
        <v>11894859.799999999</v>
      </c>
      <c r="Q15" s="164">
        <f>Q14+N15+1</f>
        <v>1621711.85</v>
      </c>
      <c r="R15" s="29">
        <f t="shared" si="2"/>
        <v>1204.1026553074337</v>
      </c>
      <c r="S15" s="5">
        <f>SUM($Q$7:$Q15)/T15</f>
        <v>1619241.1277777776</v>
      </c>
      <c r="T15" s="17">
        <v>9</v>
      </c>
      <c r="U15" s="4"/>
      <c r="V15" s="271"/>
      <c r="W15" s="279"/>
      <c r="X15" s="187">
        <v>-1248830</v>
      </c>
      <c r="Y15" s="167"/>
      <c r="Z15" s="156">
        <f>Z14-K15-L15-2</f>
        <v>-1248830</v>
      </c>
      <c r="AA15" s="217"/>
      <c r="AB15" s="92"/>
      <c r="AC15" s="92"/>
    </row>
    <row r="16" spans="2:256" s="69" customFormat="1">
      <c r="B16" s="116">
        <v>43826</v>
      </c>
      <c r="C16" s="14" t="str">
        <f t="shared" si="0"/>
        <v/>
      </c>
      <c r="D16" s="129"/>
      <c r="E16" s="87">
        <v>55</v>
      </c>
      <c r="F16" s="23">
        <v>-227464</v>
      </c>
      <c r="G16" s="26">
        <f>D16+E16+F16-E13-F13</f>
        <v>23801</v>
      </c>
      <c r="H16" s="132">
        <v>700</v>
      </c>
      <c r="I16" s="63">
        <v>-20800</v>
      </c>
      <c r="J16" s="63">
        <v>-2300</v>
      </c>
      <c r="K16" s="63">
        <f t="shared" si="3"/>
        <v>-22400</v>
      </c>
      <c r="L16" s="151">
        <v>-6</v>
      </c>
      <c r="M16" s="153"/>
      <c r="N16" s="152">
        <f>L16+K16+G16+M16</f>
        <v>1395</v>
      </c>
      <c r="O16" s="67">
        <f t="shared" si="1"/>
        <v>1338349.0649999999</v>
      </c>
      <c r="P16" s="70">
        <f t="shared" si="4"/>
        <v>13383490.649999999</v>
      </c>
      <c r="Q16" s="164">
        <f>Q15+N16+1</f>
        <v>1623107.85</v>
      </c>
      <c r="R16" s="71">
        <f t="shared" si="2"/>
        <v>1204.38944949694</v>
      </c>
      <c r="S16" s="72">
        <f>SUM($Q$7:$Q16)/T16-1</f>
        <v>1619626.7999999998</v>
      </c>
      <c r="T16" s="73">
        <v>10</v>
      </c>
      <c r="U16" s="218"/>
      <c r="V16" s="271"/>
      <c r="W16" s="279"/>
      <c r="X16" s="187">
        <v>-1226424</v>
      </c>
      <c r="Y16" s="167"/>
      <c r="Z16" s="156">
        <f t="shared" si="7"/>
        <v>-1226424</v>
      </c>
      <c r="AA16" s="217"/>
      <c r="AB16" s="92"/>
      <c r="AC16" s="1"/>
      <c r="AD16" s="1"/>
      <c r="AE16" s="2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32">
      <c r="B17" s="116">
        <v>43827</v>
      </c>
      <c r="C17" s="14" t="s">
        <v>242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1352011.0454545452</v>
      </c>
      <c r="P17" s="7">
        <f t="shared" si="4"/>
        <v>14872121.499999998</v>
      </c>
      <c r="Q17" s="164">
        <f t="shared" si="5"/>
        <v>1623107.85</v>
      </c>
      <c r="R17" s="29">
        <f t="shared" si="2"/>
        <v>1204.625451327601</v>
      </c>
      <c r="S17" s="5">
        <f>SUM($Q$7:$Q17)/T17</f>
        <v>1619944.168181818</v>
      </c>
      <c r="T17" s="18">
        <v>11</v>
      </c>
      <c r="U17" s="27"/>
      <c r="V17" s="271"/>
      <c r="W17" s="279"/>
      <c r="X17" s="187">
        <v>-1226424</v>
      </c>
      <c r="Y17" s="167"/>
      <c r="Z17" s="156">
        <f t="shared" si="7"/>
        <v>-1226424</v>
      </c>
      <c r="AA17" s="217"/>
      <c r="AB17" s="92"/>
      <c r="AD17" s="92"/>
    </row>
    <row r="18" spans="2:32" ht="12.75" thickBot="1">
      <c r="B18" s="116">
        <v>43828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1363396.0291666666</v>
      </c>
      <c r="P18" s="7">
        <f t="shared" si="4"/>
        <v>16360752.349999998</v>
      </c>
      <c r="Q18" s="164">
        <f t="shared" si="5"/>
        <v>1623107.85</v>
      </c>
      <c r="R18" s="29">
        <f t="shared" si="2"/>
        <v>1204.8207562135781</v>
      </c>
      <c r="S18" s="5">
        <f>SUM($Q$7:$Q18)/T18-1</f>
        <v>1620206.8083333333</v>
      </c>
      <c r="T18" s="18">
        <v>12</v>
      </c>
      <c r="U18" s="27"/>
      <c r="V18" s="271"/>
      <c r="W18" s="279"/>
      <c r="X18" s="187">
        <v>-1226424</v>
      </c>
      <c r="Y18" s="167"/>
      <c r="Z18" s="156">
        <f t="shared" si="7"/>
        <v>-1226424</v>
      </c>
      <c r="AA18" s="217"/>
      <c r="AB18" s="92"/>
    </row>
    <row r="19" spans="2:32">
      <c r="B19" s="195">
        <v>43829</v>
      </c>
      <c r="C19" s="14"/>
      <c r="D19" s="87"/>
      <c r="E19" s="87">
        <v>135</v>
      </c>
      <c r="F19" s="23">
        <v>-249216</v>
      </c>
      <c r="G19" s="26">
        <f>D19+E19+F19-E16-F16</f>
        <v>-21672</v>
      </c>
      <c r="H19" s="132">
        <v>500</v>
      </c>
      <c r="I19" s="25">
        <v>-6200</v>
      </c>
      <c r="J19" s="63">
        <v>1200</v>
      </c>
      <c r="K19" s="63">
        <f t="shared" si="3"/>
        <v>-4500</v>
      </c>
      <c r="L19" s="150">
        <v>26</v>
      </c>
      <c r="M19" s="153"/>
      <c r="N19" s="149">
        <f t="shared" si="6"/>
        <v>-26146</v>
      </c>
      <c r="O19" s="67">
        <f t="shared" si="1"/>
        <v>1371018.3230769229</v>
      </c>
      <c r="P19" s="7">
        <f t="shared" si="4"/>
        <v>17823238.199999999</v>
      </c>
      <c r="Q19" s="164">
        <f>Q18+N19+1</f>
        <v>1596962.85</v>
      </c>
      <c r="R19" s="29">
        <f t="shared" si="2"/>
        <v>1203.4918496214107</v>
      </c>
      <c r="S19" s="5">
        <f>SUM($Q$7:$Q19)/T19</f>
        <v>1618419.7346153846</v>
      </c>
      <c r="T19" s="18">
        <v>13</v>
      </c>
      <c r="U19" s="138" t="s">
        <v>301</v>
      </c>
      <c r="V19" s="270">
        <f>+B19</f>
        <v>43829</v>
      </c>
      <c r="W19" s="281" t="s">
        <v>308</v>
      </c>
      <c r="X19" s="187">
        <v>-1221950</v>
      </c>
      <c r="Y19" s="167">
        <f>AVERAGE(X19:X27)</f>
        <v>-1233982.888888889</v>
      </c>
      <c r="Z19" s="156">
        <f t="shared" si="7"/>
        <v>-1221950</v>
      </c>
      <c r="AA19" s="217">
        <f>AVERAGE(Z19:Z27)</f>
        <v>-1233982.888888889</v>
      </c>
      <c r="AB19" s="92"/>
    </row>
    <row r="20" spans="2:32">
      <c r="B20" s="116">
        <v>43465</v>
      </c>
      <c r="C20" s="14"/>
      <c r="D20" s="87"/>
      <c r="E20" s="87">
        <v>140</v>
      </c>
      <c r="F20" s="23">
        <v>-275710</v>
      </c>
      <c r="G20" s="26">
        <f>D20+E20+F20-E19-F19</f>
        <v>-26489</v>
      </c>
      <c r="H20" s="132">
        <v>-2500</v>
      </c>
      <c r="I20" s="25">
        <v>-31500</v>
      </c>
      <c r="J20" s="63">
        <v>1200</v>
      </c>
      <c r="K20" s="63">
        <f t="shared" si="3"/>
        <v>-32800</v>
      </c>
      <c r="L20" s="150">
        <v>-6</v>
      </c>
      <c r="M20" s="153"/>
      <c r="N20" s="149">
        <f t="shared" si="6"/>
        <v>-59295</v>
      </c>
      <c r="O20" s="67">
        <f t="shared" si="1"/>
        <v>1373316.2892857143</v>
      </c>
      <c r="P20" s="7">
        <f t="shared" si="4"/>
        <v>19226428.050000001</v>
      </c>
      <c r="Q20" s="164">
        <f>Q19+N20-1</f>
        <v>1537666.85</v>
      </c>
      <c r="R20" s="29">
        <f t="shared" si="2"/>
        <v>1199.202593327165</v>
      </c>
      <c r="S20" s="5">
        <f>SUM($Q$7:$Q20)/T20</f>
        <v>1612651.6714285717</v>
      </c>
      <c r="T20" s="18">
        <v>14</v>
      </c>
      <c r="U20" s="138" t="s">
        <v>302</v>
      </c>
      <c r="V20" s="270">
        <f>+V19+7</f>
        <v>43836</v>
      </c>
      <c r="W20" s="280">
        <v>1381.6</v>
      </c>
      <c r="X20" s="187">
        <v>-1189145</v>
      </c>
      <c r="Y20" s="167"/>
      <c r="Z20" s="156">
        <f>Z19-K20-L20-1</f>
        <v>-1189145</v>
      </c>
      <c r="AA20" s="217"/>
      <c r="AB20" s="92"/>
      <c r="AC20" s="92"/>
    </row>
    <row r="21" spans="2:32">
      <c r="B21" s="116">
        <v>43831</v>
      </c>
      <c r="C21" s="14" t="s">
        <v>242</v>
      </c>
      <c r="D21" s="87"/>
      <c r="E21" s="87"/>
      <c r="F21" s="23"/>
      <c r="G21" s="26"/>
      <c r="H21" s="132"/>
      <c r="I21" s="25"/>
      <c r="J21" s="63"/>
      <c r="K21" s="63"/>
      <c r="L21" s="150"/>
      <c r="M21" s="153"/>
      <c r="N21" s="149">
        <f>L21+K21+G21+M21</f>
        <v>0</v>
      </c>
      <c r="O21" s="67">
        <f t="shared" si="1"/>
        <v>1375307.86</v>
      </c>
      <c r="P21" s="7">
        <f t="shared" si="4"/>
        <v>20629617.900000002</v>
      </c>
      <c r="Q21" s="164">
        <f>Q20+N21</f>
        <v>1537666.85</v>
      </c>
      <c r="R21" s="29">
        <f t="shared" si="2"/>
        <v>1195.4852378721519</v>
      </c>
      <c r="S21" s="5">
        <f>SUM($Q$7:$Q21)/T21</f>
        <v>1607652.6833333336</v>
      </c>
      <c r="T21" s="18">
        <v>15</v>
      </c>
      <c r="U21" s="4"/>
      <c r="V21" s="271"/>
      <c r="W21" s="279"/>
      <c r="X21" s="187">
        <v>-1189145</v>
      </c>
      <c r="Y21" s="4"/>
      <c r="Z21" s="156">
        <f>Z20-K21-L21</f>
        <v>-1189145</v>
      </c>
      <c r="AA21" s="219"/>
      <c r="AB21" s="92"/>
    </row>
    <row r="22" spans="2:32">
      <c r="B22" s="116">
        <v>43832</v>
      </c>
      <c r="C22" s="14" t="str">
        <f t="shared" si="0"/>
        <v/>
      </c>
      <c r="D22" s="87">
        <f>-7904+1468</f>
        <v>-6436</v>
      </c>
      <c r="E22" s="87">
        <v>2</v>
      </c>
      <c r="F22" s="23">
        <v>-235479</v>
      </c>
      <c r="G22" s="26">
        <f>D22+E22+F22-E20-F20</f>
        <v>33657</v>
      </c>
      <c r="H22" s="132">
        <v>500</v>
      </c>
      <c r="I22" s="25">
        <v>33700</v>
      </c>
      <c r="J22" s="63">
        <v>1200</v>
      </c>
      <c r="K22" s="63">
        <f t="shared" si="3"/>
        <v>35400</v>
      </c>
      <c r="L22" s="150">
        <v>-5</v>
      </c>
      <c r="M22" s="153"/>
      <c r="N22" s="149">
        <f>L22+K22+G22+M22</f>
        <v>69052</v>
      </c>
      <c r="O22" s="67">
        <f t="shared" si="1"/>
        <v>1381366.2968750002</v>
      </c>
      <c r="P22" s="7">
        <f t="shared" si="4"/>
        <v>22101860.750000004</v>
      </c>
      <c r="Q22" s="164">
        <f>Q21+N22+1</f>
        <v>1606719.85</v>
      </c>
      <c r="R22" s="29">
        <f t="shared" si="2"/>
        <v>1195.4411395628995</v>
      </c>
      <c r="S22" s="5">
        <f>SUM($Q$7:$Q22)/T22-1</f>
        <v>1607593.3812500003</v>
      </c>
      <c r="T22" s="18">
        <v>16</v>
      </c>
      <c r="U22" s="4"/>
      <c r="V22" s="271"/>
      <c r="W22" s="279"/>
      <c r="X22" s="187">
        <v>-1224540</v>
      </c>
      <c r="Y22" s="167"/>
      <c r="Z22" s="156">
        <f t="shared" si="7"/>
        <v>-1224540</v>
      </c>
      <c r="AA22" s="217"/>
      <c r="AB22" s="92"/>
    </row>
    <row r="23" spans="2:32">
      <c r="B23" s="116">
        <v>43833</v>
      </c>
      <c r="C23" s="14" t="str">
        <f t="shared" si="0"/>
        <v/>
      </c>
      <c r="D23" s="87"/>
      <c r="E23" s="87">
        <v>1</v>
      </c>
      <c r="F23" s="23">
        <v>-228929</v>
      </c>
      <c r="G23" s="26">
        <f>D23+E23+F23-E22-F22</f>
        <v>6549</v>
      </c>
      <c r="H23" s="132">
        <v>2000</v>
      </c>
      <c r="I23" s="25">
        <v>21800</v>
      </c>
      <c r="J23" s="63">
        <v>1200</v>
      </c>
      <c r="K23" s="63">
        <f t="shared" si="3"/>
        <v>25000</v>
      </c>
      <c r="L23" s="150">
        <v>50</v>
      </c>
      <c r="M23" s="153"/>
      <c r="N23" s="149">
        <f>L23+K23+G23+M23</f>
        <v>31599</v>
      </c>
      <c r="O23" s="67">
        <f t="shared" si="1"/>
        <v>1388570.6823529415</v>
      </c>
      <c r="P23" s="7">
        <f t="shared" si="4"/>
        <v>23605701.600000005</v>
      </c>
      <c r="Q23" s="164">
        <f>Q22+N23-1</f>
        <v>1638317.85</v>
      </c>
      <c r="R23" s="29">
        <f t="shared" si="2"/>
        <v>1196.7858028641683</v>
      </c>
      <c r="S23" s="5">
        <f>SUM($Q$7:$Q23)/T23</f>
        <v>1609401.6441176475</v>
      </c>
      <c r="T23" s="18">
        <v>17</v>
      </c>
      <c r="U23" s="27"/>
      <c r="V23" s="271"/>
      <c r="W23" s="279"/>
      <c r="X23" s="187">
        <v>-1249590</v>
      </c>
      <c r="Y23" s="167"/>
      <c r="Z23" s="156">
        <f t="shared" si="7"/>
        <v>-1249590</v>
      </c>
      <c r="AA23" s="217"/>
      <c r="AB23" s="92"/>
    </row>
    <row r="24" spans="2:32">
      <c r="B24" s="116">
        <v>43834</v>
      </c>
      <c r="C24" s="14" t="s">
        <v>242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1394974.5805555559</v>
      </c>
      <c r="P24" s="7">
        <f t="shared" si="4"/>
        <v>25109542.450000007</v>
      </c>
      <c r="Q24" s="164">
        <f t="shared" si="5"/>
        <v>1638317.85</v>
      </c>
      <c r="R24" s="29">
        <f t="shared" si="2"/>
        <v>1197.9803981349974</v>
      </c>
      <c r="S24" s="5">
        <f>SUM($Q$7:$Q24)/T24</f>
        <v>1611008.1000000006</v>
      </c>
      <c r="T24" s="18">
        <v>18</v>
      </c>
      <c r="U24" s="4"/>
      <c r="V24" s="271"/>
      <c r="W24" s="279"/>
      <c r="X24" s="187">
        <v>-1249590</v>
      </c>
      <c r="Y24" s="167"/>
      <c r="Z24" s="156">
        <f t="shared" si="7"/>
        <v>-1249590</v>
      </c>
      <c r="AA24" s="217"/>
      <c r="AB24" s="92"/>
      <c r="AE24" s="1"/>
      <c r="AF24" s="1"/>
    </row>
    <row r="25" spans="2:32">
      <c r="B25" s="116">
        <v>43835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1400704.3842105267</v>
      </c>
      <c r="P25" s="7">
        <f t="shared" si="4"/>
        <v>26613383.300000008</v>
      </c>
      <c r="Q25" s="164">
        <f t="shared" si="5"/>
        <v>1638317.85</v>
      </c>
      <c r="R25" s="29">
        <f t="shared" si="2"/>
        <v>1199.0492465352129</v>
      </c>
      <c r="S25" s="5">
        <f>SUM($Q$7:$Q25)/T25</f>
        <v>1612445.4552631583</v>
      </c>
      <c r="T25" s="18">
        <v>19</v>
      </c>
      <c r="U25" s="4"/>
      <c r="V25" s="271"/>
      <c r="W25" s="279"/>
      <c r="X25" s="187">
        <v>-1249590</v>
      </c>
      <c r="Y25" s="167"/>
      <c r="Z25" s="156">
        <f t="shared" si="7"/>
        <v>-1249590</v>
      </c>
      <c r="AA25" s="217"/>
      <c r="AB25" s="92"/>
      <c r="AE25" s="1"/>
      <c r="AF25" s="1"/>
    </row>
    <row r="26" spans="2:32">
      <c r="B26" s="116">
        <v>43836</v>
      </c>
      <c r="C26" s="14"/>
      <c r="D26" s="87"/>
      <c r="E26" s="87">
        <v>0</v>
      </c>
      <c r="F26" s="23">
        <v>-241522</v>
      </c>
      <c r="G26" s="26">
        <f>D26+E26+F26-E23-F23</f>
        <v>-12594</v>
      </c>
      <c r="H26" s="132">
        <v>400</v>
      </c>
      <c r="I26" s="25">
        <v>14400</v>
      </c>
      <c r="J26" s="25">
        <v>1900</v>
      </c>
      <c r="K26" s="63">
        <f t="shared" si="3"/>
        <v>16700</v>
      </c>
      <c r="L26" s="150">
        <v>-38</v>
      </c>
      <c r="M26" s="153"/>
      <c r="N26" s="149">
        <f t="shared" si="6"/>
        <v>4068</v>
      </c>
      <c r="O26" s="67">
        <f t="shared" si="1"/>
        <v>1406064.6075000004</v>
      </c>
      <c r="P26" s="7">
        <f t="shared" si="4"/>
        <v>28121292.15000001</v>
      </c>
      <c r="Q26" s="164">
        <f>Q25+N26</f>
        <v>1642385.85</v>
      </c>
      <c r="R26" s="29">
        <f t="shared" si="2"/>
        <v>1200.1624627259685</v>
      </c>
      <c r="S26" s="5">
        <f>SUM($Q$7:$Q26)/T26</f>
        <v>1613942.4750000006</v>
      </c>
      <c r="T26" s="18">
        <v>20</v>
      </c>
      <c r="U26" s="138" t="s">
        <v>301</v>
      </c>
      <c r="V26" s="270">
        <f>+B26</f>
        <v>43836</v>
      </c>
      <c r="W26" s="280" t="s">
        <v>309</v>
      </c>
      <c r="X26" s="187">
        <v>-1266252</v>
      </c>
      <c r="Y26" s="167">
        <f>AVERAGE(X26:X34)</f>
        <v>-1284730.7777777778</v>
      </c>
      <c r="Z26" s="156">
        <f>Z25-K26-L26</f>
        <v>-1266252</v>
      </c>
      <c r="AA26" s="217">
        <f>AVERAGE(Z26:Z34)</f>
        <v>-1284730.7777777778</v>
      </c>
      <c r="AD26" s="92"/>
      <c r="AE26" s="1"/>
      <c r="AF26" s="1"/>
    </row>
    <row r="27" spans="2:32">
      <c r="B27" s="116">
        <v>43837</v>
      </c>
      <c r="C27" s="14" t="str">
        <f t="shared" si="0"/>
        <v/>
      </c>
      <c r="D27" s="87"/>
      <c r="E27" s="87">
        <v>0</v>
      </c>
      <c r="F27" s="23">
        <v>-236745</v>
      </c>
      <c r="G27" s="26">
        <f>D27+E27+F27-E26-F26</f>
        <v>4777</v>
      </c>
      <c r="H27" s="132">
        <v>400</v>
      </c>
      <c r="I27" s="25">
        <v>-2400</v>
      </c>
      <c r="J27" s="25">
        <v>1800</v>
      </c>
      <c r="K27" s="63">
        <f t="shared" si="3"/>
        <v>-200</v>
      </c>
      <c r="L27" s="150">
        <v>-9</v>
      </c>
      <c r="M27" s="153"/>
      <c r="N27" s="149">
        <f>L27+K27+G27+M27</f>
        <v>4568</v>
      </c>
      <c r="O27" s="67">
        <f t="shared" si="1"/>
        <v>1411131.8571428577</v>
      </c>
      <c r="P27" s="7">
        <f t="shared" si="4"/>
        <v>29633769.000000011</v>
      </c>
      <c r="Q27" s="164">
        <f>Q26+N27</f>
        <v>1646953.85</v>
      </c>
      <c r="R27" s="29">
        <f t="shared" si="2"/>
        <v>1201.3321573489116</v>
      </c>
      <c r="S27" s="5">
        <f>SUM($Q$7:$Q27)/T27+1</f>
        <v>1615515.4452380957</v>
      </c>
      <c r="T27" s="18">
        <v>21</v>
      </c>
      <c r="U27" s="138" t="s">
        <v>302</v>
      </c>
      <c r="V27" s="270">
        <f>+V26+7</f>
        <v>43843</v>
      </c>
      <c r="W27" s="280">
        <v>1357.5</v>
      </c>
      <c r="X27" s="187">
        <v>-1266044</v>
      </c>
      <c r="Y27" s="167"/>
      <c r="Z27" s="156">
        <f>Z26-K27-L27-1</f>
        <v>-1266044</v>
      </c>
      <c r="AA27" s="217"/>
      <c r="AB27" s="92"/>
      <c r="AE27" s="1"/>
      <c r="AF27" s="1"/>
    </row>
    <row r="28" spans="2:32">
      <c r="B28" s="116">
        <v>43838</v>
      </c>
      <c r="C28" s="14" t="str">
        <f t="shared" si="0"/>
        <v/>
      </c>
      <c r="D28" s="87">
        <f>-1468+1104</f>
        <v>-364</v>
      </c>
      <c r="E28" s="87">
        <v>0</v>
      </c>
      <c r="F28" s="23">
        <v>-234130</v>
      </c>
      <c r="G28" s="26">
        <f>D28+E28+F28-E27-F27</f>
        <v>2251</v>
      </c>
      <c r="H28" s="132">
        <v>400</v>
      </c>
      <c r="I28" s="25">
        <v>11200</v>
      </c>
      <c r="J28" s="25">
        <v>1800</v>
      </c>
      <c r="K28" s="63">
        <f t="shared" si="3"/>
        <v>13400</v>
      </c>
      <c r="L28" s="150">
        <v>-31</v>
      </c>
      <c r="M28" s="153"/>
      <c r="N28" s="149">
        <f>L28+K28+G28+M28</f>
        <v>15620</v>
      </c>
      <c r="O28" s="67">
        <f t="shared" si="1"/>
        <v>1416447.8568181824</v>
      </c>
      <c r="P28" s="7">
        <f t="shared" si="4"/>
        <v>31161852.850000013</v>
      </c>
      <c r="Q28" s="164">
        <f>Q27+N28-13</f>
        <v>1662560.85</v>
      </c>
      <c r="R28" s="29">
        <f t="shared" si="2"/>
        <v>1202.9268337201297</v>
      </c>
      <c r="S28" s="5">
        <f>SUM($Q$7:$Q28)/T28+7</f>
        <v>1617659.9181818187</v>
      </c>
      <c r="T28" s="18">
        <v>22</v>
      </c>
      <c r="U28" s="4"/>
      <c r="V28" s="271"/>
      <c r="W28" s="279"/>
      <c r="X28" s="187">
        <v>-1279412</v>
      </c>
      <c r="Y28" s="167"/>
      <c r="Z28" s="156">
        <f>Z27-K28-L28+1</f>
        <v>-1279412</v>
      </c>
      <c r="AA28" s="217"/>
      <c r="AB28" s="92"/>
      <c r="AE28" s="1"/>
      <c r="AF28" s="1"/>
    </row>
    <row r="29" spans="2:32">
      <c r="B29" s="116">
        <v>43839</v>
      </c>
      <c r="C29" s="14" t="str">
        <f t="shared" si="0"/>
        <v/>
      </c>
      <c r="D29" s="87"/>
      <c r="E29" s="87">
        <v>0</v>
      </c>
      <c r="F29" s="23">
        <v>-239584</v>
      </c>
      <c r="G29" s="26">
        <f>D29+E29+F29-E28-F28</f>
        <v>-5454</v>
      </c>
      <c r="H29" s="132">
        <v>400</v>
      </c>
      <c r="I29" s="25">
        <v>1400</v>
      </c>
      <c r="J29" s="25">
        <v>1800</v>
      </c>
      <c r="K29" s="63">
        <f t="shared" si="3"/>
        <v>3600</v>
      </c>
      <c r="L29" s="150">
        <v>-43</v>
      </c>
      <c r="M29" s="153"/>
      <c r="N29" s="149">
        <f>L29+K29+G29+M29</f>
        <v>-1897</v>
      </c>
      <c r="O29" s="67">
        <f t="shared" si="1"/>
        <v>1421219.2913043485</v>
      </c>
      <c r="P29" s="7">
        <f t="shared" si="4"/>
        <v>32688043.700000014</v>
      </c>
      <c r="Q29" s="164">
        <f>Q28+N29+4</f>
        <v>1660667.85</v>
      </c>
      <c r="R29" s="29">
        <f t="shared" si="2"/>
        <v>1204.3168219165332</v>
      </c>
      <c r="S29" s="5">
        <f>SUM($Q$7:$Q29)/T29+6</f>
        <v>1619529.1326086961</v>
      </c>
      <c r="T29" s="18">
        <v>23</v>
      </c>
      <c r="U29" s="4"/>
      <c r="V29" s="271"/>
      <c r="W29" s="279"/>
      <c r="X29" s="187">
        <v>-1282972</v>
      </c>
      <c r="Y29" s="167"/>
      <c r="Z29" s="156">
        <f>Z28-K29-L29-2-1</f>
        <v>-1282972</v>
      </c>
      <c r="AA29" s="217"/>
      <c r="AB29" s="92"/>
      <c r="AE29" s="1"/>
      <c r="AF29" s="1"/>
    </row>
    <row r="30" spans="2:32">
      <c r="B30" s="116">
        <v>43840</v>
      </c>
      <c r="C30" s="14" t="str">
        <f t="shared" si="0"/>
        <v/>
      </c>
      <c r="D30" s="87"/>
      <c r="E30" s="87">
        <v>35</v>
      </c>
      <c r="F30" s="23">
        <v>-242572</v>
      </c>
      <c r="G30" s="26">
        <f>D30+E30+F30-E29-F29</f>
        <v>-2953</v>
      </c>
      <c r="H30" s="132">
        <v>400</v>
      </c>
      <c r="I30" s="25">
        <v>5100</v>
      </c>
      <c r="J30" s="25">
        <v>1800</v>
      </c>
      <c r="K30" s="63">
        <f t="shared" si="3"/>
        <v>7300</v>
      </c>
      <c r="L30" s="150">
        <v>-21</v>
      </c>
      <c r="M30" s="153"/>
      <c r="N30" s="149">
        <f t="shared" si="6"/>
        <v>4326</v>
      </c>
      <c r="O30" s="67">
        <f t="shared" si="1"/>
        <v>1425772.9812500004</v>
      </c>
      <c r="P30" s="7">
        <f t="shared" si="4"/>
        <v>34218551.550000012</v>
      </c>
      <c r="Q30" s="164">
        <f>Q29+N30-9</f>
        <v>1664984.85</v>
      </c>
      <c r="R30" s="29">
        <f t="shared" si="2"/>
        <v>1205.7254183491109</v>
      </c>
      <c r="S30" s="5">
        <f>SUM($Q$7:$Q30)/T30+6</f>
        <v>1621423.3708333338</v>
      </c>
      <c r="T30" s="18">
        <v>24</v>
      </c>
      <c r="U30" s="4"/>
      <c r="V30" s="271"/>
      <c r="W30" s="279"/>
      <c r="X30" s="187">
        <v>-1290243</v>
      </c>
      <c r="Y30" s="167"/>
      <c r="Z30" s="156">
        <f>Z29-K30-L30+8</f>
        <v>-1290243</v>
      </c>
      <c r="AA30" s="217"/>
      <c r="AB30" s="92"/>
      <c r="AE30" s="1"/>
      <c r="AF30" s="1"/>
    </row>
    <row r="31" spans="2:32">
      <c r="B31" s="116">
        <v>43841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/>
      <c r="L31" s="150"/>
      <c r="M31" s="153"/>
      <c r="N31" s="149">
        <f>L31+K31+G31+M31</f>
        <v>0</v>
      </c>
      <c r="O31" s="67">
        <f>P31/T31</f>
        <v>1429962.3760000006</v>
      </c>
      <c r="P31" s="7">
        <f t="shared" si="4"/>
        <v>35749059.400000013</v>
      </c>
      <c r="Q31" s="164">
        <f t="shared" si="5"/>
        <v>1664984.85</v>
      </c>
      <c r="R31" s="29">
        <f t="shared" si="2"/>
        <v>1207.018352580739</v>
      </c>
      <c r="S31" s="5">
        <f>SUM($Q$7:$Q31)/T31+2</f>
        <v>1623162.0700000005</v>
      </c>
      <c r="T31" s="18">
        <v>25</v>
      </c>
      <c r="U31" s="4"/>
      <c r="V31" s="271"/>
      <c r="W31" s="279"/>
      <c r="X31" s="187">
        <v>-1290243</v>
      </c>
      <c r="Y31" s="167"/>
      <c r="Z31" s="156">
        <f t="shared" si="7"/>
        <v>-1290243</v>
      </c>
      <c r="AA31" s="217"/>
      <c r="AB31" s="92"/>
      <c r="AC31" s="92"/>
      <c r="AE31" s="1"/>
      <c r="AF31" s="1"/>
    </row>
    <row r="32" spans="2:32">
      <c r="B32" s="116">
        <v>43842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1433829.5096153852</v>
      </c>
      <c r="P32" s="7">
        <f t="shared" si="4"/>
        <v>37279567.250000015</v>
      </c>
      <c r="Q32" s="164">
        <f t="shared" si="5"/>
        <v>1664984.85</v>
      </c>
      <c r="R32" s="29">
        <f t="shared" si="2"/>
        <v>1208.2130887695414</v>
      </c>
      <c r="S32" s="5">
        <f>SUM($Q$7:$Q32)/T32</f>
        <v>1624768.7153846161</v>
      </c>
      <c r="T32" s="18">
        <v>26</v>
      </c>
      <c r="U32" s="27"/>
      <c r="V32" s="271"/>
      <c r="W32" s="279"/>
      <c r="X32" s="187">
        <v>-1290243</v>
      </c>
      <c r="Y32" s="167"/>
      <c r="Z32" s="156">
        <f t="shared" si="7"/>
        <v>-1290243</v>
      </c>
      <c r="AA32" s="217"/>
      <c r="AE32" s="1"/>
      <c r="AF32" s="1"/>
    </row>
    <row r="33" spans="2:32">
      <c r="B33" s="116">
        <v>43843</v>
      </c>
      <c r="C33" s="14" t="str">
        <f t="shared" si="0"/>
        <v/>
      </c>
      <c r="D33" s="87"/>
      <c r="E33" s="87">
        <v>36</v>
      </c>
      <c r="F33" s="23">
        <v>-249213</v>
      </c>
      <c r="G33" s="26">
        <f>D33+E33+F33-E30-F30</f>
        <v>-6640</v>
      </c>
      <c r="H33" s="132">
        <v>600</v>
      </c>
      <c r="I33" s="25">
        <v>3400</v>
      </c>
      <c r="J33" s="25">
        <v>1200</v>
      </c>
      <c r="K33" s="63">
        <f t="shared" si="3"/>
        <v>5200</v>
      </c>
      <c r="L33" s="150">
        <v>-26</v>
      </c>
      <c r="M33" s="153"/>
      <c r="N33" s="149">
        <f t="shared" si="6"/>
        <v>-1466</v>
      </c>
      <c r="O33" s="67">
        <f t="shared" si="1"/>
        <v>1437355.9296296302</v>
      </c>
      <c r="P33" s="7">
        <f t="shared" si="4"/>
        <v>38808610.100000016</v>
      </c>
      <c r="Q33" s="164">
        <f>Q32+N33+1</f>
        <v>1663519.85</v>
      </c>
      <c r="R33" s="29">
        <f t="shared" si="2"/>
        <v>1209.2840728099179</v>
      </c>
      <c r="S33" s="5">
        <f>SUM($Q$7:$Q33)/T33+5</f>
        <v>1626208.9425925931</v>
      </c>
      <c r="T33" s="18">
        <v>27</v>
      </c>
      <c r="U33" s="138" t="s">
        <v>301</v>
      </c>
      <c r="V33" s="270">
        <f>+B33</f>
        <v>43843</v>
      </c>
      <c r="W33" s="280" t="s">
        <v>310</v>
      </c>
      <c r="X33" s="187">
        <v>-1295418</v>
      </c>
      <c r="Y33" s="167">
        <f>AVERAGE(X33:X41)</f>
        <v>-1283546.5555555555</v>
      </c>
      <c r="Z33" s="156">
        <f>Z32-K33-L33-1</f>
        <v>-1295418</v>
      </c>
      <c r="AA33" s="217">
        <f>AVERAGE(Z33:Z41)</f>
        <v>-1283546.5555555555</v>
      </c>
      <c r="AE33" s="1"/>
      <c r="AF33" s="1"/>
    </row>
    <row r="34" spans="2:32">
      <c r="B34" s="116">
        <v>43844</v>
      </c>
      <c r="C34" s="14" t="str">
        <f t="shared" si="0"/>
        <v/>
      </c>
      <c r="D34" s="87"/>
      <c r="E34" s="87">
        <v>19</v>
      </c>
      <c r="F34" s="23">
        <v>-249946</v>
      </c>
      <c r="G34" s="26">
        <f>D34+E34+F34-E33-F33</f>
        <v>-750</v>
      </c>
      <c r="H34" s="132">
        <v>1200</v>
      </c>
      <c r="I34" s="25">
        <v>3900</v>
      </c>
      <c r="J34" s="25">
        <v>1200</v>
      </c>
      <c r="K34" s="63">
        <f t="shared" si="3"/>
        <v>6300</v>
      </c>
      <c r="L34" s="150">
        <v>33</v>
      </c>
      <c r="M34" s="153"/>
      <c r="N34" s="149">
        <f>L34+K34+G34+M34</f>
        <v>5583</v>
      </c>
      <c r="O34" s="67">
        <f t="shared" si="1"/>
        <v>1440829.8553571436</v>
      </c>
      <c r="P34" s="7">
        <f t="shared" si="4"/>
        <v>40343235.950000018</v>
      </c>
      <c r="Q34" s="164">
        <f>Q33+N34</f>
        <v>1669102.85</v>
      </c>
      <c r="R34" s="29">
        <f t="shared" si="2"/>
        <v>1210.419660186182</v>
      </c>
      <c r="S34" s="5">
        <f>SUM($Q$7:$Q34)/T34</f>
        <v>1627736.0464285722</v>
      </c>
      <c r="T34" s="18">
        <v>28</v>
      </c>
      <c r="U34" s="138" t="s">
        <v>302</v>
      </c>
      <c r="V34" s="270">
        <f>+V33+7</f>
        <v>43850</v>
      </c>
      <c r="W34" s="280">
        <v>1358.2</v>
      </c>
      <c r="X34" s="187">
        <v>-1301750</v>
      </c>
      <c r="Y34" s="167"/>
      <c r="Z34" s="156">
        <f>Z33-K34-L34+1</f>
        <v>-1301750</v>
      </c>
      <c r="AA34" s="217"/>
      <c r="AB34" s="92"/>
      <c r="AE34" s="1"/>
      <c r="AF34" s="1"/>
    </row>
    <row r="35" spans="2:32">
      <c r="B35" s="116">
        <v>43845</v>
      </c>
      <c r="C35" s="14" t="str">
        <f t="shared" si="0"/>
        <v/>
      </c>
      <c r="D35" s="87">
        <f>-1104+821</f>
        <v>-283</v>
      </c>
      <c r="E35" s="87">
        <v>0</v>
      </c>
      <c r="F35" s="23">
        <v>-247902</v>
      </c>
      <c r="G35" s="26">
        <f>D35+E35+F35-E34-F34</f>
        <v>1742</v>
      </c>
      <c r="H35" s="132">
        <v>600</v>
      </c>
      <c r="I35" s="25">
        <v>-12000</v>
      </c>
      <c r="J35" s="25">
        <v>1100</v>
      </c>
      <c r="K35" s="63">
        <f t="shared" si="3"/>
        <v>-10300</v>
      </c>
      <c r="L35" s="150">
        <v>-22</v>
      </c>
      <c r="M35" s="153"/>
      <c r="N35" s="149">
        <f t="shared" si="6"/>
        <v>-8580</v>
      </c>
      <c r="O35" s="67">
        <f t="shared" si="1"/>
        <v>1443768.3379310351</v>
      </c>
      <c r="P35" s="7">
        <f t="shared" si="4"/>
        <v>41869281.800000019</v>
      </c>
      <c r="Q35" s="164">
        <f>Q34+N35</f>
        <v>1660522.85</v>
      </c>
      <c r="R35" s="29">
        <f t="shared" si="2"/>
        <v>1211.2596398358601</v>
      </c>
      <c r="S35" s="5">
        <f>SUM($Q$7:$Q35)/T35-1</f>
        <v>1628865.6258620697</v>
      </c>
      <c r="T35" s="18">
        <v>29</v>
      </c>
      <c r="U35" s="4"/>
      <c r="V35" s="271"/>
      <c r="W35" s="279"/>
      <c r="X35" s="187">
        <v>-1291429</v>
      </c>
      <c r="Y35" s="167"/>
      <c r="Z35" s="156">
        <f>Z34-K35-L35-1</f>
        <v>-1291429</v>
      </c>
      <c r="AA35" s="217"/>
      <c r="AB35" s="92"/>
      <c r="AE35" s="1"/>
      <c r="AF35" s="1"/>
    </row>
    <row r="36" spans="2:32">
      <c r="B36" s="116">
        <v>43846</v>
      </c>
      <c r="C36" s="14" t="str">
        <f t="shared" si="0"/>
        <v/>
      </c>
      <c r="D36" s="87"/>
      <c r="E36" s="87">
        <v>4</v>
      </c>
      <c r="F36" s="23">
        <v>-253586</v>
      </c>
      <c r="G36" s="26">
        <f>D36+E36+F36-E35-F35</f>
        <v>-5680</v>
      </c>
      <c r="H36" s="132">
        <v>-3700</v>
      </c>
      <c r="I36" s="25">
        <v>-18200</v>
      </c>
      <c r="J36" s="25">
        <v>1100</v>
      </c>
      <c r="K36" s="63">
        <f t="shared" si="3"/>
        <v>-20800</v>
      </c>
      <c r="L36" s="150">
        <v>27</v>
      </c>
      <c r="M36" s="153"/>
      <c r="N36" s="149">
        <f>L36+K36+G36+M36</f>
        <v>-26453</v>
      </c>
      <c r="O36" s="67">
        <f t="shared" si="1"/>
        <v>1445629.0550000006</v>
      </c>
      <c r="P36" s="7">
        <f t="shared" si="4"/>
        <v>43368871.650000021</v>
      </c>
      <c r="Q36" s="164">
        <f>Q35+N36-3</f>
        <v>1634066.85</v>
      </c>
      <c r="R36" s="29">
        <f t="shared" si="2"/>
        <v>1211.3885397998672</v>
      </c>
      <c r="S36" s="5">
        <f>SUM($Q$7:$Q36)/T36-1</f>
        <v>1629038.9666666675</v>
      </c>
      <c r="T36" s="18">
        <v>30</v>
      </c>
      <c r="U36" s="4"/>
      <c r="V36" s="271"/>
      <c r="W36" s="279"/>
      <c r="X36" s="187">
        <v>-1270653</v>
      </c>
      <c r="Y36" s="167"/>
      <c r="Z36" s="156">
        <f>Z35-K36-L36+3</f>
        <v>-1270653</v>
      </c>
      <c r="AA36" s="217"/>
      <c r="AE36" s="1"/>
      <c r="AF36" s="1"/>
    </row>
    <row r="37" spans="2:32">
      <c r="B37" s="116">
        <v>43847</v>
      </c>
      <c r="C37" s="14" t="str">
        <f t="shared" si="0"/>
        <v/>
      </c>
      <c r="D37" s="87"/>
      <c r="E37" s="87">
        <v>5</v>
      </c>
      <c r="F37" s="23">
        <v>-258334</v>
      </c>
      <c r="G37" s="26">
        <f>D37+E37+F37-E36-F36</f>
        <v>-4747</v>
      </c>
      <c r="H37" s="132">
        <v>-200</v>
      </c>
      <c r="I37" s="25">
        <v>17900</v>
      </c>
      <c r="J37" s="25">
        <v>1100</v>
      </c>
      <c r="K37" s="63">
        <f>+H37+I37+J37</f>
        <v>18800</v>
      </c>
      <c r="L37" s="150">
        <v>17</v>
      </c>
      <c r="M37" s="153"/>
      <c r="N37" s="149">
        <f>L37+K37+G37+M37</f>
        <v>14070</v>
      </c>
      <c r="O37" s="67">
        <f t="shared" si="1"/>
        <v>1447823.5000000007</v>
      </c>
      <c r="P37" s="7">
        <f t="shared" si="4"/>
        <v>44882528.500000022</v>
      </c>
      <c r="Q37" s="164">
        <f>Q36+N37-3</f>
        <v>1648133.85</v>
      </c>
      <c r="R37" s="29">
        <f t="shared" si="2"/>
        <v>1211.8480471657588</v>
      </c>
      <c r="S37" s="5">
        <f>SUM($Q$7:$Q37)/T37+1</f>
        <v>1629656.8983870975</v>
      </c>
      <c r="T37" s="18">
        <v>31</v>
      </c>
      <c r="U37" s="27"/>
      <c r="V37" s="271"/>
      <c r="W37" s="279"/>
      <c r="X37" s="187">
        <v>-1289467</v>
      </c>
      <c r="Y37" s="167"/>
      <c r="Z37" s="156">
        <f>Z36-K37-L37+3</f>
        <v>-1289467</v>
      </c>
      <c r="AA37" s="217"/>
      <c r="AB37" s="92"/>
      <c r="AE37" s="1"/>
      <c r="AF37" s="1"/>
    </row>
    <row r="38" spans="2:32">
      <c r="B38" s="116">
        <v>43848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1449880.7921875007</v>
      </c>
      <c r="P38" s="7">
        <f t="shared" si="4"/>
        <v>46396185.350000024</v>
      </c>
      <c r="Q38" s="164">
        <f t="shared" si="5"/>
        <v>1648133.85</v>
      </c>
      <c r="R38" s="29">
        <f t="shared" si="2"/>
        <v>1212.2766974092228</v>
      </c>
      <c r="S38" s="5">
        <f>SUM($Q$7:$Q38)/T38</f>
        <v>1630233.3343750008</v>
      </c>
      <c r="T38" s="18">
        <v>32</v>
      </c>
      <c r="U38" s="27"/>
      <c r="V38" s="271"/>
      <c r="W38" s="279"/>
      <c r="X38" s="187">
        <v>-1289467</v>
      </c>
      <c r="Y38" s="167"/>
      <c r="Z38" s="156">
        <f t="shared" si="7"/>
        <v>-1289467</v>
      </c>
      <c r="AA38" s="217"/>
      <c r="AE38" s="1"/>
      <c r="AF38" s="1"/>
    </row>
    <row r="39" spans="2:32">
      <c r="B39" s="116">
        <v>43849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1451813.4000000008</v>
      </c>
      <c r="P39" s="7">
        <f t="shared" si="4"/>
        <v>47909842.200000025</v>
      </c>
      <c r="Q39" s="164">
        <f t="shared" si="5"/>
        <v>1648133.85</v>
      </c>
      <c r="R39" s="29">
        <f t="shared" si="2"/>
        <v>1212.6815546468356</v>
      </c>
      <c r="S39" s="5">
        <f>SUM($Q$7:$Q39)/T39+2</f>
        <v>1630777.7742424251</v>
      </c>
      <c r="T39" s="18">
        <v>33</v>
      </c>
      <c r="U39" s="27"/>
      <c r="V39" s="271"/>
      <c r="W39" s="279"/>
      <c r="X39" s="187">
        <v>-1289467</v>
      </c>
      <c r="Y39" s="167"/>
      <c r="Z39" s="156">
        <f t="shared" si="7"/>
        <v>-1289467</v>
      </c>
      <c r="AA39" s="217"/>
      <c r="AE39" s="1"/>
      <c r="AF39" s="1"/>
    </row>
    <row r="40" spans="2:32">
      <c r="B40" s="116">
        <v>43850</v>
      </c>
      <c r="C40" s="14" t="str">
        <f t="shared" si="0"/>
        <v/>
      </c>
      <c r="D40" s="87"/>
      <c r="E40" s="87">
        <v>7</v>
      </c>
      <c r="F40" s="23">
        <v>-271697</v>
      </c>
      <c r="G40" s="26">
        <f>D40+E40+F40-E37-F37</f>
        <v>-13361</v>
      </c>
      <c r="H40" s="132">
        <v>-17600</v>
      </c>
      <c r="I40" s="25">
        <v>-2300</v>
      </c>
      <c r="J40" s="25">
        <v>900</v>
      </c>
      <c r="K40" s="63">
        <f t="shared" si="3"/>
        <v>-19000</v>
      </c>
      <c r="L40" s="150">
        <v>48</v>
      </c>
      <c r="M40" s="153"/>
      <c r="N40" s="149">
        <f t="shared" si="6"/>
        <v>-32313</v>
      </c>
      <c r="O40" s="67">
        <f t="shared" si="1"/>
        <v>1452681.9426470597</v>
      </c>
      <c r="P40" s="7">
        <f t="shared" si="4"/>
        <v>49391186.050000027</v>
      </c>
      <c r="Q40" s="164">
        <f>Q39+N40</f>
        <v>1615820.85</v>
      </c>
      <c r="R40" s="29">
        <f t="shared" si="2"/>
        <v>1212.3529849189174</v>
      </c>
      <c r="S40" s="5">
        <f>SUM($Q$7:$Q40)/T40</f>
        <v>1630335.9235294126</v>
      </c>
      <c r="T40" s="18">
        <v>34</v>
      </c>
      <c r="U40" s="138" t="s">
        <v>301</v>
      </c>
      <c r="V40" s="270">
        <f>+B40</f>
        <v>43850</v>
      </c>
      <c r="W40" s="280" t="s">
        <v>311</v>
      </c>
      <c r="X40" s="187">
        <v>-1270514</v>
      </c>
      <c r="Y40" s="167">
        <f>AVERAGE(X40:X47)</f>
        <v>-1266562.625</v>
      </c>
      <c r="Z40" s="156">
        <f>Z39-K40-L40+1</f>
        <v>-1270514</v>
      </c>
      <c r="AA40" s="217">
        <f>AVERAGE(Z40:Z47)</f>
        <v>-1266562.625</v>
      </c>
      <c r="AE40" s="1"/>
      <c r="AF40" s="1"/>
    </row>
    <row r="41" spans="2:32">
      <c r="B41" s="116">
        <v>43851</v>
      </c>
      <c r="C41" s="14" t="str">
        <f t="shared" si="0"/>
        <v/>
      </c>
      <c r="D41" s="87"/>
      <c r="E41" s="87">
        <v>8</v>
      </c>
      <c r="F41" s="23">
        <v>-275671</v>
      </c>
      <c r="G41" s="26">
        <f>D41+E41+F41-E40-F40</f>
        <v>-3973</v>
      </c>
      <c r="H41" s="132">
        <v>-7500</v>
      </c>
      <c r="I41" s="25">
        <v>-10100</v>
      </c>
      <c r="J41" s="25">
        <v>800</v>
      </c>
      <c r="K41" s="63">
        <f t="shared" si="3"/>
        <v>-16800</v>
      </c>
      <c r="L41" s="150">
        <v>41</v>
      </c>
      <c r="M41" s="153"/>
      <c r="N41" s="149">
        <f>L41+K41+G41+M41</f>
        <v>-20732</v>
      </c>
      <c r="O41" s="67">
        <f t="shared" si="1"/>
        <v>1452908.454285715</v>
      </c>
      <c r="P41" s="7">
        <f t="shared" si="4"/>
        <v>50851795.900000028</v>
      </c>
      <c r="Q41" s="164">
        <f>Q40+N41-2</f>
        <v>1595086.85</v>
      </c>
      <c r="R41" s="29">
        <f t="shared" si="2"/>
        <v>1211.6040714344149</v>
      </c>
      <c r="S41" s="5">
        <f>SUM($Q$7:$Q41)/T41</f>
        <v>1629328.8071428579</v>
      </c>
      <c r="T41" s="18">
        <v>35</v>
      </c>
      <c r="U41" s="138" t="s">
        <v>302</v>
      </c>
      <c r="V41" s="270">
        <f>+V40+7</f>
        <v>43857</v>
      </c>
      <c r="W41" s="280">
        <v>1389.1</v>
      </c>
      <c r="X41" s="187">
        <v>-1253754</v>
      </c>
      <c r="Y41" s="167"/>
      <c r="Z41" s="156">
        <f>Z40-K41-L41+1</f>
        <v>-1253754</v>
      </c>
      <c r="AA41" s="217"/>
      <c r="AE41" s="1"/>
      <c r="AF41" s="1"/>
    </row>
    <row r="42" spans="2:32">
      <c r="B42" s="116">
        <v>43852</v>
      </c>
      <c r="C42" s="14" t="str">
        <f t="shared" si="0"/>
        <v/>
      </c>
      <c r="D42" s="87">
        <f>-821+965</f>
        <v>144</v>
      </c>
      <c r="E42" s="87">
        <v>4</v>
      </c>
      <c r="F42" s="23">
        <v>-278553</v>
      </c>
      <c r="G42" s="26">
        <f>D42+E42+F42-E41-F41</f>
        <v>-2742</v>
      </c>
      <c r="H42" s="132">
        <v>-300</v>
      </c>
      <c r="I42" s="25">
        <v>3300</v>
      </c>
      <c r="J42" s="25">
        <v>800</v>
      </c>
      <c r="K42" s="63">
        <f t="shared" si="3"/>
        <v>3800</v>
      </c>
      <c r="L42" s="150">
        <v>4</v>
      </c>
      <c r="M42" s="153"/>
      <c r="N42" s="149">
        <f>L42+K42+G42+M42</f>
        <v>1062</v>
      </c>
      <c r="O42" s="67">
        <f t="shared" si="1"/>
        <v>1453151.9930555564</v>
      </c>
      <c r="P42" s="7">
        <f t="shared" si="4"/>
        <v>52313471.75000003</v>
      </c>
      <c r="Q42" s="164">
        <f>Q41+N42+4</f>
        <v>1596152.85</v>
      </c>
      <c r="R42" s="29">
        <f t="shared" si="2"/>
        <v>1210.9187837160098</v>
      </c>
      <c r="S42" s="5">
        <f>SUM($Q$7:$Q42)/T42</f>
        <v>1628407.2527777785</v>
      </c>
      <c r="T42" s="18">
        <v>36</v>
      </c>
      <c r="U42" s="4"/>
      <c r="V42" s="271"/>
      <c r="W42" s="279"/>
      <c r="X42" s="187">
        <v>-1257560</v>
      </c>
      <c r="Y42" s="167"/>
      <c r="Z42" s="156">
        <f>Z41-K42-L42-2</f>
        <v>-1257560</v>
      </c>
      <c r="AA42" s="217"/>
      <c r="AB42" s="92"/>
      <c r="AE42" s="1"/>
      <c r="AF42" s="1"/>
    </row>
    <row r="43" spans="2:32">
      <c r="B43" s="116">
        <v>43853</v>
      </c>
      <c r="C43" s="14" t="str">
        <f t="shared" si="0"/>
        <v/>
      </c>
      <c r="D43" s="87"/>
      <c r="E43" s="87">
        <v>9</v>
      </c>
      <c r="F43" s="23">
        <v>-281292</v>
      </c>
      <c r="G43" s="26">
        <f>D43+E43+F43-E42-F42</f>
        <v>-2734</v>
      </c>
      <c r="H43" s="132">
        <v>100</v>
      </c>
      <c r="I43" s="25">
        <v>15400</v>
      </c>
      <c r="J43" s="25">
        <v>800</v>
      </c>
      <c r="K43" s="63">
        <f t="shared" si="3"/>
        <v>16300</v>
      </c>
      <c r="L43" s="150">
        <v>-15</v>
      </c>
      <c r="M43" s="153"/>
      <c r="N43" s="149">
        <f t="shared" si="6"/>
        <v>13551</v>
      </c>
      <c r="O43" s="67">
        <f t="shared" si="1"/>
        <v>1453748.5567567577</v>
      </c>
      <c r="P43" s="7">
        <f t="shared" si="4"/>
        <v>53788696.600000031</v>
      </c>
      <c r="Q43" s="164">
        <f>Q42+N43-2</f>
        <v>1609701.85</v>
      </c>
      <c r="R43" s="29">
        <f t="shared" si="2"/>
        <v>1210.5428447625632</v>
      </c>
      <c r="S43" s="5">
        <f>SUM($Q$7:$Q43)/T43</f>
        <v>1627901.7013513523</v>
      </c>
      <c r="T43" s="18">
        <v>37</v>
      </c>
      <c r="U43" s="4"/>
      <c r="V43" s="272"/>
      <c r="W43" s="279"/>
      <c r="X43" s="187">
        <v>-1273846</v>
      </c>
      <c r="Y43" s="167"/>
      <c r="Z43" s="156">
        <f>Z42-K43-L43-1</f>
        <v>-1273846</v>
      </c>
      <c r="AA43" s="217"/>
      <c r="AB43" s="92"/>
      <c r="AE43" s="1"/>
      <c r="AF43" s="1"/>
    </row>
    <row r="44" spans="2:32">
      <c r="B44" s="116">
        <v>43854</v>
      </c>
      <c r="C44" s="14" t="str">
        <f t="shared" si="0"/>
        <v/>
      </c>
      <c r="D44" s="87"/>
      <c r="E44" s="87">
        <v>0</v>
      </c>
      <c r="F44" s="23">
        <v>-280887</v>
      </c>
      <c r="G44" s="26">
        <f>D44+E44+F44-E43-F43</f>
        <v>396</v>
      </c>
      <c r="H44" s="132">
        <v>400</v>
      </c>
      <c r="I44" s="25">
        <v>-3000</v>
      </c>
      <c r="J44" s="25">
        <v>800</v>
      </c>
      <c r="K44" s="63">
        <f t="shared" si="3"/>
        <v>-1800</v>
      </c>
      <c r="L44" s="150">
        <v>-40</v>
      </c>
      <c r="M44" s="153"/>
      <c r="N44" s="149">
        <f t="shared" si="6"/>
        <v>-1444</v>
      </c>
      <c r="O44" s="67">
        <f t="shared" si="1"/>
        <v>1454275.6960526325</v>
      </c>
      <c r="P44" s="7">
        <f t="shared" si="4"/>
        <v>55262476.450000033</v>
      </c>
      <c r="Q44" s="164">
        <f>Q43+N44-1</f>
        <v>1608256.85</v>
      </c>
      <c r="R44" s="29">
        <f t="shared" si="2"/>
        <v>1210.1576712589872</v>
      </c>
      <c r="S44" s="5">
        <f>SUM($Q$7:$Q44)/T44-1</f>
        <v>1627383.7315789482</v>
      </c>
      <c r="T44" s="18">
        <v>38</v>
      </c>
      <c r="U44" s="27"/>
      <c r="V44" s="272"/>
      <c r="W44" s="279"/>
      <c r="X44" s="187">
        <v>-1272003</v>
      </c>
      <c r="Y44" s="167"/>
      <c r="Z44" s="156">
        <f>Z43-K44-L44+3</f>
        <v>-1272003</v>
      </c>
      <c r="AA44" s="217"/>
      <c r="AB44" s="92"/>
      <c r="AE44" s="1"/>
      <c r="AF44" s="1"/>
    </row>
    <row r="45" spans="2:32">
      <c r="B45" s="116">
        <v>43855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1454775.8025641034</v>
      </c>
      <c r="P45" s="7">
        <f t="shared" si="4"/>
        <v>56736256.300000034</v>
      </c>
      <c r="Q45" s="164">
        <f t="shared" si="5"/>
        <v>1608256.85</v>
      </c>
      <c r="R45" s="29">
        <f t="shared" si="2"/>
        <v>1209.7936993515054</v>
      </c>
      <c r="S45" s="5">
        <f>SUM($Q$7:$Q45)/T45</f>
        <v>1626894.273076924</v>
      </c>
      <c r="T45" s="18">
        <v>39</v>
      </c>
      <c r="U45" s="27"/>
      <c r="V45" s="272"/>
      <c r="W45" s="279"/>
      <c r="X45" s="187">
        <v>-1272003</v>
      </c>
      <c r="Y45" s="167"/>
      <c r="Z45" s="156">
        <f t="shared" si="7"/>
        <v>-1272003</v>
      </c>
      <c r="AA45" s="217"/>
      <c r="AE45" s="1"/>
      <c r="AF45" s="1"/>
    </row>
    <row r="46" spans="2:32">
      <c r="B46" s="116">
        <v>43856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1455250.903750001</v>
      </c>
      <c r="P46" s="7">
        <f t="shared" si="4"/>
        <v>58210036.150000036</v>
      </c>
      <c r="Q46" s="164">
        <f t="shared" si="5"/>
        <v>1608256.85</v>
      </c>
      <c r="R46" s="29">
        <f t="shared" si="2"/>
        <v>1209.4472195988913</v>
      </c>
      <c r="S46" s="5">
        <f>SUM($Q$7:$Q46)/T46</f>
        <v>1626428.3375000008</v>
      </c>
      <c r="T46" s="18">
        <v>40</v>
      </c>
      <c r="U46" s="27"/>
      <c r="V46" s="272"/>
      <c r="W46" s="279"/>
      <c r="X46" s="187">
        <v>-1272003</v>
      </c>
      <c r="Y46" s="167"/>
      <c r="Z46" s="156">
        <f t="shared" si="7"/>
        <v>-1272003</v>
      </c>
      <c r="AA46" s="217"/>
      <c r="AE46" s="1"/>
      <c r="AF46" s="1"/>
    </row>
    <row r="47" spans="2:32">
      <c r="B47" s="116">
        <v>43857</v>
      </c>
      <c r="C47" s="14" t="str">
        <f t="shared" si="0"/>
        <v/>
      </c>
      <c r="D47" s="87"/>
      <c r="E47" s="87">
        <v>10</v>
      </c>
      <c r="F47" s="23">
        <v>-287978</v>
      </c>
      <c r="G47" s="26">
        <f>D47+E47+F47-E44-F44</f>
        <v>-7081</v>
      </c>
      <c r="H47" s="132">
        <v>500</v>
      </c>
      <c r="I47" s="25">
        <v>-11100</v>
      </c>
      <c r="J47" s="25">
        <v>-600</v>
      </c>
      <c r="K47" s="63">
        <f t="shared" si="3"/>
        <v>-11200</v>
      </c>
      <c r="L47" s="150">
        <v>15</v>
      </c>
      <c r="M47" s="153"/>
      <c r="N47" s="149">
        <f t="shared" si="6"/>
        <v>-18266</v>
      </c>
      <c r="O47" s="67">
        <f t="shared" si="1"/>
        <v>1455257.3170731717</v>
      </c>
      <c r="P47" s="7">
        <f t="shared" si="4"/>
        <v>59665550.000000037</v>
      </c>
      <c r="Q47" s="164">
        <f t="shared" si="5"/>
        <v>1589990.85</v>
      </c>
      <c r="R47" s="29">
        <f t="shared" si="2"/>
        <v>1208.7863488125731</v>
      </c>
      <c r="S47" s="5">
        <f>SUM($Q$7:$Q47)/T47</f>
        <v>1625539.618292684</v>
      </c>
      <c r="T47" s="18">
        <v>41</v>
      </c>
      <c r="U47" s="138"/>
      <c r="V47" s="272"/>
      <c r="W47" s="279"/>
      <c r="X47" s="187">
        <v>-1260818</v>
      </c>
      <c r="Y47" s="167"/>
      <c r="Z47" s="156">
        <f t="shared" si="7"/>
        <v>-1260818</v>
      </c>
      <c r="AA47" s="217"/>
      <c r="AE47" s="1"/>
      <c r="AF47" s="1"/>
    </row>
    <row r="48" spans="2:32" ht="12.75" thickBot="1">
      <c r="B48" s="220">
        <v>43858</v>
      </c>
      <c r="C48" s="221" t="str">
        <f t="shared" ref="C48" si="8">IF(OR(WEEKDAY(B48)=1,WEEKDAY(B48)=7),"F","")</f>
        <v/>
      </c>
      <c r="D48" s="222"/>
      <c r="E48" s="222">
        <v>0</v>
      </c>
      <c r="F48" s="223">
        <v>-330929</v>
      </c>
      <c r="G48" s="224">
        <f>D48+E48+F48-E47-F47</f>
        <v>-42961</v>
      </c>
      <c r="H48" s="225">
        <v>500</v>
      </c>
      <c r="I48" s="226">
        <v>2100</v>
      </c>
      <c r="J48" s="226">
        <v>-700</v>
      </c>
      <c r="K48" s="227">
        <f t="shared" ref="K48" si="9">+H48+I48+J48</f>
        <v>1900</v>
      </c>
      <c r="L48" s="228">
        <v>-11</v>
      </c>
      <c r="M48" s="229"/>
      <c r="N48" s="230">
        <f t="shared" ref="N48" si="10">L48+K48+G48+M48</f>
        <v>-41072</v>
      </c>
      <c r="O48" s="231">
        <f t="shared" ref="O48" si="11">P48/T48</f>
        <v>1454285.5440476199</v>
      </c>
      <c r="P48" s="232">
        <f t="shared" si="4"/>
        <v>61079992.850000039</v>
      </c>
      <c r="Q48" s="233">
        <f>Q47+N48+1</f>
        <v>1548919.85</v>
      </c>
      <c r="R48" s="234">
        <f t="shared" si="2"/>
        <v>1207.4275438143616</v>
      </c>
      <c r="S48" s="235">
        <f>SUM($Q$7:$Q48)/T48-3</f>
        <v>1623712.3380952389</v>
      </c>
      <c r="T48" s="236">
        <v>42</v>
      </c>
      <c r="U48" s="237"/>
      <c r="V48" s="284"/>
      <c r="W48" s="282"/>
      <c r="X48" s="285">
        <v>-1262708</v>
      </c>
      <c r="Y48" s="240"/>
      <c r="Z48" s="241">
        <f>Z47-K48-L48-1</f>
        <v>-1262708</v>
      </c>
      <c r="AA48" s="242"/>
      <c r="AE48" s="1"/>
      <c r="AF48" s="1"/>
    </row>
    <row r="49" spans="2:28" s="4" customFormat="1" ht="13.7" customHeight="1" thickBo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299"/>
      <c r="N49" s="181"/>
      <c r="O49" s="181"/>
      <c r="P49" s="182"/>
      <c r="Q49" s="183"/>
      <c r="R49" s="184"/>
      <c r="S49" s="6"/>
      <c r="T49" s="182"/>
      <c r="U49" s="185"/>
      <c r="V49" s="186"/>
      <c r="W49" s="276"/>
      <c r="X49" s="187"/>
      <c r="Y49" s="188"/>
      <c r="Z49" s="181"/>
      <c r="AA49" s="188"/>
      <c r="AB49" s="194"/>
    </row>
    <row r="50" spans="2:28" ht="12.75" thickBot="1">
      <c r="B50" s="4"/>
      <c r="C50" s="286"/>
      <c r="D50" s="287" t="s">
        <v>58</v>
      </c>
      <c r="E50" s="288"/>
      <c r="F50" s="289"/>
      <c r="G50" s="290"/>
      <c r="H50" s="11"/>
      <c r="I50" s="11"/>
      <c r="J50" s="11"/>
      <c r="K50" s="11"/>
      <c r="L50" s="11"/>
      <c r="M50" s="11"/>
      <c r="N50" s="4"/>
    </row>
    <row r="51" spans="2:28" ht="12.75" thickTop="1">
      <c r="D51" s="291" t="s">
        <v>59</v>
      </c>
      <c r="E51" s="139"/>
      <c r="F51" s="142"/>
      <c r="G51" s="292">
        <f>'Dec 2019'!Q55</f>
        <v>1566263.35</v>
      </c>
      <c r="H51" s="11"/>
      <c r="I51" s="11"/>
      <c r="J51" s="11"/>
      <c r="K51" s="12"/>
      <c r="L51" s="12"/>
      <c r="M51" s="12"/>
      <c r="N51" s="4"/>
    </row>
    <row r="52" spans="2:28">
      <c r="D52" s="293" t="s">
        <v>4</v>
      </c>
      <c r="E52" s="139"/>
      <c r="F52" s="143"/>
      <c r="G52" s="294">
        <f>'Dec 2019'!E55</f>
        <v>15</v>
      </c>
      <c r="H52" s="13"/>
      <c r="I52" s="13"/>
      <c r="J52" s="13"/>
      <c r="K52" s="13"/>
      <c r="L52" s="13"/>
      <c r="M52" s="13"/>
      <c r="N52" s="6"/>
    </row>
    <row r="53" spans="2:28">
      <c r="D53" s="293" t="s">
        <v>60</v>
      </c>
      <c r="E53" s="144"/>
      <c r="F53" s="143"/>
      <c r="G53" s="294">
        <f>'Dec 2019'!F55</f>
        <v>-337851</v>
      </c>
      <c r="H53" s="13"/>
      <c r="I53" s="13"/>
      <c r="J53" s="13"/>
      <c r="K53" s="13"/>
      <c r="L53" s="13"/>
      <c r="M53" s="13"/>
      <c r="N53" s="6"/>
    </row>
    <row r="54" spans="2:28" ht="12.75" thickBot="1">
      <c r="D54" s="295" t="s">
        <v>46</v>
      </c>
      <c r="E54" s="296"/>
      <c r="F54" s="297"/>
      <c r="G54" s="298">
        <f>'Dec 2019'!Y55</f>
        <v>-1238860</v>
      </c>
      <c r="H54" s="13"/>
      <c r="I54" s="13"/>
      <c r="J54" s="13"/>
      <c r="K54" s="13"/>
      <c r="L54" s="13"/>
      <c r="M54" s="95"/>
      <c r="N54" s="6"/>
    </row>
    <row r="65517" spans="24:24">
      <c r="X65517" s="105"/>
    </row>
    <row r="65524" spans="24:24">
      <c r="X65524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B1:IU65532"/>
  <sheetViews>
    <sheetView zoomScaleNormal="100" workbookViewId="0">
      <pane xSplit="2" ySplit="6" topLeftCell="P44" activePane="bottomRight" state="frozen"/>
      <selection pane="topRight" activeCell="C1" sqref="C1"/>
      <selection pane="bottomLeft" activeCell="A7" sqref="A7"/>
      <selection pane="bottomRight" activeCell="W54" sqref="W54:W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135653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43859</v>
      </c>
      <c r="C7" s="196" t="str">
        <f t="shared" ref="C7:C55" si="0">IF(OR(WEEKDAY(B7)=1,WEEKDAY(B7)=7),"F","")</f>
        <v/>
      </c>
      <c r="D7" s="197">
        <f>-965+1602</f>
        <v>637</v>
      </c>
      <c r="E7" s="197">
        <v>5</v>
      </c>
      <c r="F7" s="198">
        <v>-241472</v>
      </c>
      <c r="G7" s="199">
        <f>D7+E7+F7-G60-G61</f>
        <v>90099</v>
      </c>
      <c r="H7" s="200">
        <v>500</v>
      </c>
      <c r="I7" s="201">
        <v>8800</v>
      </c>
      <c r="J7" s="201">
        <v>-700</v>
      </c>
      <c r="K7" s="168">
        <f t="shared" ref="K7:K9" si="1">+H7+I7+J7</f>
        <v>8600</v>
      </c>
      <c r="L7" s="169">
        <v>-19</v>
      </c>
      <c r="M7" s="203"/>
      <c r="N7" s="204">
        <f>L7+K7+G7+M7</f>
        <v>98680</v>
      </c>
      <c r="O7" s="205">
        <f t="shared" ref="O7:O55" si="2">P7/T7</f>
        <v>1511945.85</v>
      </c>
      <c r="P7" s="206">
        <f>(+$Q7-$Q$3)</f>
        <v>1511945.85</v>
      </c>
      <c r="Q7" s="207">
        <f>G59+N7-1</f>
        <v>1647598.85</v>
      </c>
      <c r="R7" s="208">
        <f t="shared" ref="R7:R55" si="3">$S7/$Q$3*100</f>
        <v>1214.568678908686</v>
      </c>
      <c r="S7" s="209">
        <f>$Q7</f>
        <v>1647598.85</v>
      </c>
      <c r="T7" s="210">
        <v>1</v>
      </c>
      <c r="U7" s="211">
        <f>B7</f>
        <v>43859</v>
      </c>
      <c r="V7" s="212" t="s">
        <v>312</v>
      </c>
      <c r="W7" s="213">
        <v>-1271289</v>
      </c>
      <c r="X7" s="214">
        <f>AVERAGE(W7:W15)</f>
        <v>-1288504.2222222222</v>
      </c>
      <c r="Y7" s="215">
        <f>-L7-K7+'Jan 2020'!Z48</f>
        <v>-1271289</v>
      </c>
      <c r="Z7" s="216">
        <f>AVERAGE(Y7:Y11)</f>
        <v>-1275885</v>
      </c>
      <c r="AA7" s="92"/>
    </row>
    <row r="8" spans="2:255">
      <c r="B8" s="116">
        <v>43860</v>
      </c>
      <c r="C8" s="14"/>
      <c r="D8" s="128">
        <f>-592+547</f>
        <v>-45</v>
      </c>
      <c r="E8" s="128">
        <v>49</v>
      </c>
      <c r="F8" s="162">
        <v>-236265</v>
      </c>
      <c r="G8" s="26">
        <f>D8+E8+F8-E7-F7</f>
        <v>5206</v>
      </c>
      <c r="H8" s="132">
        <v>-2700</v>
      </c>
      <c r="I8" s="63">
        <v>-7600</v>
      </c>
      <c r="J8" s="63">
        <v>-800</v>
      </c>
      <c r="K8" s="170">
        <f t="shared" si="1"/>
        <v>-11100</v>
      </c>
      <c r="L8" s="171">
        <v>0</v>
      </c>
      <c r="M8" s="153"/>
      <c r="N8" s="149">
        <f>L8+K8+G8+M8</f>
        <v>-5894</v>
      </c>
      <c r="O8" s="67">
        <f t="shared" si="2"/>
        <v>753026.42500000005</v>
      </c>
      <c r="P8" s="163">
        <f>(IF($Q8&lt;0,-$Q$3+P6,($Q8-$Q$3)+P6))</f>
        <v>1506052.85</v>
      </c>
      <c r="Q8" s="164">
        <f>Q7+N8+1</f>
        <v>1641705.85</v>
      </c>
      <c r="R8" s="29">
        <f t="shared" si="3"/>
        <v>1212.3965927771594</v>
      </c>
      <c r="S8" s="165">
        <f>SUM($Q$7:$Q8)/T8</f>
        <v>1644652.35</v>
      </c>
      <c r="T8" s="166">
        <v>2</v>
      </c>
      <c r="U8" s="138">
        <f>B7+6</f>
        <v>43865</v>
      </c>
      <c r="V8" s="131">
        <v>1357.5</v>
      </c>
      <c r="W8" s="105">
        <v>-1260189</v>
      </c>
      <c r="X8" s="167"/>
      <c r="Y8" s="156">
        <f>Y7-K8-L8</f>
        <v>-1260189</v>
      </c>
      <c r="Z8" s="217"/>
      <c r="AA8" s="92"/>
    </row>
    <row r="9" spans="2:255">
      <c r="B9" s="116">
        <v>43861</v>
      </c>
      <c r="C9" s="14" t="str">
        <f t="shared" si="0"/>
        <v/>
      </c>
      <c r="D9" s="87"/>
      <c r="E9" s="87">
        <v>0</v>
      </c>
      <c r="F9" s="23">
        <v>-260001</v>
      </c>
      <c r="G9" s="26">
        <f>D9+E9+F9-E8-F8</f>
        <v>-23785</v>
      </c>
      <c r="H9" s="132">
        <v>500</v>
      </c>
      <c r="I9" s="63">
        <v>22750</v>
      </c>
      <c r="J9" s="63">
        <v>-800</v>
      </c>
      <c r="K9" s="170">
        <f t="shared" si="1"/>
        <v>22450</v>
      </c>
      <c r="L9" s="171">
        <v>9</v>
      </c>
      <c r="M9" s="153"/>
      <c r="N9" s="149">
        <f>L9+K9+G9+M9</f>
        <v>-1326</v>
      </c>
      <c r="O9" s="67">
        <f t="shared" si="2"/>
        <v>1005557.5666666668</v>
      </c>
      <c r="P9" s="7">
        <f>(IF($Q9&lt;0,-$Q$3+P7,($Q9-$Q$3)+P7))</f>
        <v>3016672.7</v>
      </c>
      <c r="Q9" s="164">
        <f>Q8+N9</f>
        <v>1640379.85</v>
      </c>
      <c r="R9" s="29">
        <f t="shared" si="3"/>
        <v>1211.3474698925445</v>
      </c>
      <c r="S9" s="5">
        <f>SUM($Q$7:$Q9)/T9+1</f>
        <v>1643229.1833333336</v>
      </c>
      <c r="T9" s="17">
        <v>3</v>
      </c>
      <c r="U9" s="4"/>
      <c r="V9" s="131"/>
      <c r="W9" s="105">
        <v>-1282649</v>
      </c>
      <c r="X9" s="167"/>
      <c r="Y9" s="156">
        <f>Y8-K9-L9-1</f>
        <v>-1282649</v>
      </c>
      <c r="Z9" s="217"/>
      <c r="AA9" s="92"/>
    </row>
    <row r="10" spans="2:255">
      <c r="B10" s="116">
        <v>43862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1130349.8875000002</v>
      </c>
      <c r="P10" s="7">
        <f t="shared" ref="P10:P55" si="4">(IF($Q10&lt;0,-$Q$3+P9,($Q10-$Q$3)+P9))</f>
        <v>4521399.5500000007</v>
      </c>
      <c r="Q10" s="164">
        <f t="shared" ref="Q10:Q32" si="5">Q9+N10</f>
        <v>1640379.85</v>
      </c>
      <c r="R10" s="29">
        <f t="shared" si="3"/>
        <v>1210.8210655127423</v>
      </c>
      <c r="S10" s="5">
        <f>SUM($Q$7:$Q10)/T10-1</f>
        <v>1642515.1</v>
      </c>
      <c r="T10" s="17">
        <v>4</v>
      </c>
      <c r="U10" s="27"/>
      <c r="V10" s="133"/>
      <c r="W10" s="105">
        <v>-1282649</v>
      </c>
      <c r="X10" s="167"/>
      <c r="Y10" s="156">
        <f>Y9-K10-L10</f>
        <v>-1282649</v>
      </c>
      <c r="Z10" s="217"/>
      <c r="AA10" s="92"/>
    </row>
    <row r="11" spans="2:255">
      <c r="B11" s="116">
        <v>43863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1205225.28</v>
      </c>
      <c r="P11" s="7">
        <f t="shared" si="4"/>
        <v>6026126.4000000004</v>
      </c>
      <c r="Q11" s="164">
        <f t="shared" si="5"/>
        <v>1640379.85</v>
      </c>
      <c r="R11" s="29">
        <f t="shared" si="3"/>
        <v>1210.5068446698563</v>
      </c>
      <c r="S11" s="5">
        <f>SUM($Q$7:$Q11)/T11</f>
        <v>1642088.85</v>
      </c>
      <c r="T11" s="17">
        <v>5</v>
      </c>
      <c r="U11" s="27"/>
      <c r="V11" s="134"/>
      <c r="W11" s="105">
        <v>-1282649</v>
      </c>
      <c r="X11" s="167"/>
      <c r="Y11" s="156">
        <f t="shared" ref="Y11:Y39" si="7">Y10-K11-L11</f>
        <v>-1282649</v>
      </c>
      <c r="Z11" s="217"/>
      <c r="AA11" s="92"/>
    </row>
    <row r="12" spans="2:255">
      <c r="B12" s="116">
        <v>43864</v>
      </c>
      <c r="C12" s="14" t="str">
        <f t="shared" si="0"/>
        <v/>
      </c>
      <c r="D12" s="87"/>
      <c r="E12" s="161">
        <v>6</v>
      </c>
      <c r="F12" s="23">
        <v>-249825</v>
      </c>
      <c r="G12" s="26">
        <f>D12+E12+F12-E9-F9</f>
        <v>10182</v>
      </c>
      <c r="H12" s="132">
        <v>23500</v>
      </c>
      <c r="I12" s="63">
        <v>10500</v>
      </c>
      <c r="J12" s="63">
        <v>-100</v>
      </c>
      <c r="K12" s="170">
        <f t="shared" ref="K12:K55" si="8">+H12+I12+J12</f>
        <v>33900</v>
      </c>
      <c r="L12" s="171">
        <v>-9</v>
      </c>
      <c r="M12" s="153"/>
      <c r="N12" s="149">
        <f t="shared" si="6"/>
        <v>44073</v>
      </c>
      <c r="O12" s="67">
        <f t="shared" si="2"/>
        <v>1262488.0416666667</v>
      </c>
      <c r="P12" s="7">
        <f t="shared" si="4"/>
        <v>7574928.25</v>
      </c>
      <c r="Q12" s="164">
        <f>Q11+N12+2</f>
        <v>1684454.85</v>
      </c>
      <c r="R12" s="29">
        <f t="shared" si="3"/>
        <v>1215.7120373305418</v>
      </c>
      <c r="S12" s="5">
        <f>SUM($Q$7:$Q12)/T12</f>
        <v>1649149.8499999999</v>
      </c>
      <c r="T12" s="17">
        <v>6</v>
      </c>
      <c r="U12" s="138">
        <f>B12</f>
        <v>43864</v>
      </c>
      <c r="V12" s="131" t="s">
        <v>314</v>
      </c>
      <c r="W12" s="105">
        <v>-1316541</v>
      </c>
      <c r="X12" s="167">
        <f>AVERAGE(W12:W20)</f>
        <v>-1303137.888888889</v>
      </c>
      <c r="Y12" s="156">
        <f>Y11-K12-L12-1</f>
        <v>-1316541</v>
      </c>
      <c r="Z12" s="217">
        <f>AVERAGE(Y12:Y20)</f>
        <v>-1303137.888888889</v>
      </c>
      <c r="AA12" s="92"/>
    </row>
    <row r="13" spans="2:255">
      <c r="B13" s="116">
        <v>43865</v>
      </c>
      <c r="C13" s="14"/>
      <c r="D13" s="87"/>
      <c r="E13" s="87">
        <v>19</v>
      </c>
      <c r="F13" s="23">
        <v>-244214</v>
      </c>
      <c r="G13" s="26">
        <f>D13+E13+F13-E12-F12</f>
        <v>5624</v>
      </c>
      <c r="H13" s="132">
        <v>700</v>
      </c>
      <c r="I13" s="63">
        <v>-9600</v>
      </c>
      <c r="J13" s="63">
        <v>-100</v>
      </c>
      <c r="K13" s="170">
        <f t="shared" si="8"/>
        <v>-9000</v>
      </c>
      <c r="L13" s="171">
        <v>9</v>
      </c>
      <c r="M13" s="153"/>
      <c r="N13" s="149">
        <f t="shared" si="6"/>
        <v>-3367</v>
      </c>
      <c r="O13" s="67">
        <f t="shared" si="2"/>
        <v>1302908.8714285714</v>
      </c>
      <c r="P13" s="7">
        <f>(IF($Q13&lt;0,-$Q$3+P12,($Q13-$Q$3)+P12))</f>
        <v>9120362.0999999996</v>
      </c>
      <c r="Q13" s="164">
        <f>Q12+N13-1</f>
        <v>1681086.85</v>
      </c>
      <c r="R13" s="29">
        <f t="shared" si="3"/>
        <v>1219.0753456034356</v>
      </c>
      <c r="S13" s="5">
        <f>SUM($Q$7:$Q13)/T13</f>
        <v>1653712.2785714285</v>
      </c>
      <c r="T13" s="17">
        <v>7</v>
      </c>
      <c r="U13" s="138">
        <f>B14+6</f>
        <v>43872</v>
      </c>
      <c r="V13" s="249">
        <v>1335.8</v>
      </c>
      <c r="W13" s="105">
        <v>-1307549</v>
      </c>
      <c r="X13" s="167"/>
      <c r="Y13" s="156">
        <f>Y12-K13-L13+1</f>
        <v>-1307549</v>
      </c>
      <c r="Z13" s="217"/>
      <c r="AA13" s="92"/>
      <c r="AB13" s="92"/>
    </row>
    <row r="14" spans="2:255">
      <c r="B14" s="116">
        <v>43866</v>
      </c>
      <c r="C14" s="14"/>
      <c r="D14" s="87">
        <f>-1602+842</f>
        <v>-760</v>
      </c>
      <c r="E14" s="87">
        <v>0</v>
      </c>
      <c r="F14" s="23">
        <v>-232889</v>
      </c>
      <c r="G14" s="26">
        <f>D14+E14+F14-E13-F13</f>
        <v>10546</v>
      </c>
      <c r="H14" s="132">
        <v>700</v>
      </c>
      <c r="I14" s="63">
        <v>-10500</v>
      </c>
      <c r="J14" s="63">
        <v>-100</v>
      </c>
      <c r="K14" s="170">
        <f t="shared" si="8"/>
        <v>-9900</v>
      </c>
      <c r="L14" s="171">
        <v>-41</v>
      </c>
      <c r="M14" s="154"/>
      <c r="N14" s="149">
        <f>L14+K14+G14+M14</f>
        <v>605</v>
      </c>
      <c r="O14" s="67">
        <f t="shared" si="2"/>
        <v>1333299.9937499999</v>
      </c>
      <c r="P14" s="7">
        <f t="shared" si="4"/>
        <v>10666399.949999999</v>
      </c>
      <c r="Q14" s="164">
        <f>Q13+N14-1</f>
        <v>1681690.85</v>
      </c>
      <c r="R14" s="29">
        <f t="shared" si="3"/>
        <v>1221.6542206954507</v>
      </c>
      <c r="S14" s="5">
        <f>SUM($Q$7:$Q14)/T14+1</f>
        <v>1657210.5999999999</v>
      </c>
      <c r="T14" s="17">
        <v>8</v>
      </c>
      <c r="U14" s="4"/>
      <c r="V14" s="4"/>
      <c r="W14" s="105">
        <v>-1297607</v>
      </c>
      <c r="X14" s="167"/>
      <c r="Y14" s="156">
        <f>Y13-K14-L14+1</f>
        <v>-1297607</v>
      </c>
      <c r="Z14" s="217"/>
      <c r="AA14" s="92"/>
    </row>
    <row r="15" spans="2:255">
      <c r="B15" s="116">
        <v>43867</v>
      </c>
      <c r="C15" s="14" t="str">
        <f t="shared" si="0"/>
        <v/>
      </c>
      <c r="D15" s="87"/>
      <c r="E15" s="87">
        <v>0</v>
      </c>
      <c r="F15" s="23">
        <v>-233982</v>
      </c>
      <c r="G15" s="26">
        <f>D15+E15+F15-E14-F14</f>
        <v>-1093</v>
      </c>
      <c r="H15" s="132">
        <v>700</v>
      </c>
      <c r="I15" s="63">
        <v>-2800</v>
      </c>
      <c r="J15" s="63">
        <v>-100</v>
      </c>
      <c r="K15" s="170">
        <f t="shared" si="8"/>
        <v>-2200</v>
      </c>
      <c r="L15" s="172">
        <v>6</v>
      </c>
      <c r="M15" s="153"/>
      <c r="N15" s="149">
        <f>L15+K15+G15+M15</f>
        <v>-3287</v>
      </c>
      <c r="O15" s="67">
        <f t="shared" si="2"/>
        <v>1356572.5333333332</v>
      </c>
      <c r="P15" s="7">
        <f t="shared" si="4"/>
        <v>12209152.799999999</v>
      </c>
      <c r="Q15" s="164">
        <f>Q14+N15+1+1</f>
        <v>1678405.85</v>
      </c>
      <c r="R15" s="29">
        <f t="shared" si="3"/>
        <v>1223.389633026095</v>
      </c>
      <c r="S15" s="5">
        <f>SUM($Q$7:$Q15)/T15</f>
        <v>1659564.7388888886</v>
      </c>
      <c r="T15" s="17">
        <v>9</v>
      </c>
      <c r="U15" s="4"/>
      <c r="V15" s="4"/>
      <c r="W15" s="105">
        <v>-1295416</v>
      </c>
      <c r="X15" s="167"/>
      <c r="Y15" s="156">
        <f>Y14-K15-L15-1-2</f>
        <v>-1295416</v>
      </c>
      <c r="Z15" s="217"/>
      <c r="AA15" s="92"/>
      <c r="AB15" s="92"/>
    </row>
    <row r="16" spans="2:255" s="69" customFormat="1">
      <c r="B16" s="116">
        <v>43868</v>
      </c>
      <c r="C16" s="14" t="str">
        <f t="shared" si="0"/>
        <v/>
      </c>
      <c r="D16" s="129"/>
      <c r="E16" s="87">
        <v>0</v>
      </c>
      <c r="F16" s="23">
        <v>-235043</v>
      </c>
      <c r="G16" s="26">
        <f>D16+E16+F16-E15-F15</f>
        <v>-1061</v>
      </c>
      <c r="H16" s="132">
        <v>700</v>
      </c>
      <c r="I16" s="63">
        <v>12700</v>
      </c>
      <c r="J16" s="63">
        <v>-200</v>
      </c>
      <c r="K16" s="170">
        <f t="shared" si="8"/>
        <v>13200</v>
      </c>
      <c r="L16" s="172">
        <v>42</v>
      </c>
      <c r="M16" s="153"/>
      <c r="N16" s="152">
        <f>L16+K16+G16+M16</f>
        <v>12181</v>
      </c>
      <c r="O16" s="67">
        <f t="shared" si="2"/>
        <v>1376408.7649999999</v>
      </c>
      <c r="P16" s="70">
        <f t="shared" si="4"/>
        <v>13764087.649999999</v>
      </c>
      <c r="Q16" s="164">
        <f>Q15+N16+1</f>
        <v>1690587.85</v>
      </c>
      <c r="R16" s="71">
        <f t="shared" si="3"/>
        <v>1225.6765792131393</v>
      </c>
      <c r="S16" s="72">
        <f>SUM($Q$7:$Q16)/T16</f>
        <v>1662667.0499999998</v>
      </c>
      <c r="T16" s="73">
        <v>10</v>
      </c>
      <c r="U16" s="218"/>
      <c r="V16" s="133"/>
      <c r="W16" s="105">
        <v>-1308659</v>
      </c>
      <c r="X16" s="167"/>
      <c r="Y16" s="156">
        <f>Y15-K16-L16-1</f>
        <v>-1308659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43869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1392638.4090909089</v>
      </c>
      <c r="P17" s="7">
        <f t="shared" si="4"/>
        <v>15319022.499999998</v>
      </c>
      <c r="Q17" s="164">
        <f t="shared" si="5"/>
        <v>1690587.85</v>
      </c>
      <c r="R17" s="29">
        <f t="shared" si="3"/>
        <v>1227.5477170025392</v>
      </c>
      <c r="S17" s="5">
        <f>SUM($Q$7:$Q17)/T17</f>
        <v>1665205.3045454544</v>
      </c>
      <c r="T17" s="18">
        <v>11</v>
      </c>
      <c r="U17" s="27"/>
      <c r="V17" s="136"/>
      <c r="W17" s="105">
        <v>-1308659</v>
      </c>
      <c r="X17" s="167"/>
      <c r="Y17" s="156">
        <f t="shared" si="7"/>
        <v>-1308659</v>
      </c>
      <c r="Z17" s="217"/>
      <c r="AA17" s="92"/>
      <c r="AC17" s="92"/>
    </row>
    <row r="18" spans="2:31">
      <c r="B18" s="116">
        <v>43870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1406163.1124999998</v>
      </c>
      <c r="P18" s="7">
        <f t="shared" si="4"/>
        <v>16873957.349999998</v>
      </c>
      <c r="Q18" s="164">
        <f t="shared" si="5"/>
        <v>1690587.85</v>
      </c>
      <c r="R18" s="29">
        <f t="shared" si="3"/>
        <v>1229.1062613187078</v>
      </c>
      <c r="S18" s="5">
        <f>SUM($Q$7:$Q18)/T18-1</f>
        <v>1667319.5166666666</v>
      </c>
      <c r="T18" s="18">
        <v>12</v>
      </c>
      <c r="U18" s="27"/>
      <c r="V18" s="136"/>
      <c r="W18" s="105">
        <v>-1308659</v>
      </c>
      <c r="X18" s="167"/>
      <c r="Y18" s="156">
        <f t="shared" si="7"/>
        <v>-1308659</v>
      </c>
      <c r="Z18" s="217"/>
      <c r="AA18" s="92"/>
    </row>
    <row r="19" spans="2:31">
      <c r="B19" s="116">
        <v>43871</v>
      </c>
      <c r="C19" s="14" t="str">
        <f t="shared" si="0"/>
        <v/>
      </c>
      <c r="D19" s="87"/>
      <c r="E19" s="87">
        <v>0</v>
      </c>
      <c r="F19" s="23">
        <v>-226233</v>
      </c>
      <c r="G19" s="26">
        <f>D19+E19+F19-E16-F16</f>
        <v>8810</v>
      </c>
      <c r="H19" s="132">
        <v>500</v>
      </c>
      <c r="I19" s="25">
        <v>-14300</v>
      </c>
      <c r="J19" s="63">
        <v>100</v>
      </c>
      <c r="K19" s="170">
        <f t="shared" si="8"/>
        <v>-13700</v>
      </c>
      <c r="L19" s="171">
        <v>-33</v>
      </c>
      <c r="M19" s="153"/>
      <c r="N19" s="149">
        <f t="shared" si="6"/>
        <v>-4923</v>
      </c>
      <c r="O19" s="67">
        <f t="shared" si="2"/>
        <v>1417228.4</v>
      </c>
      <c r="P19" s="7">
        <f t="shared" si="4"/>
        <v>18423969.199999999</v>
      </c>
      <c r="Q19" s="164">
        <f>Q18+N19</f>
        <v>1685664.85</v>
      </c>
      <c r="R19" s="29">
        <f t="shared" si="3"/>
        <v>1230.1472280235375</v>
      </c>
      <c r="S19" s="5">
        <f>SUM($Q$7:$Q19)/T19</f>
        <v>1668731.6192307693</v>
      </c>
      <c r="T19" s="18">
        <v>13</v>
      </c>
      <c r="U19" s="138">
        <f>B19</f>
        <v>43871</v>
      </c>
      <c r="V19" s="131" t="s">
        <v>315</v>
      </c>
      <c r="W19" s="105">
        <v>-1294926</v>
      </c>
      <c r="X19" s="167">
        <f>AVERAGE(W19:W27)</f>
        <v>-1271149.2222222222</v>
      </c>
      <c r="Y19" s="156">
        <f t="shared" si="7"/>
        <v>-1294926</v>
      </c>
      <c r="Z19" s="217">
        <f>AVERAGE(Y19:Y27)</f>
        <v>-1271149.3333333333</v>
      </c>
      <c r="AA19" s="92"/>
    </row>
    <row r="20" spans="2:31">
      <c r="B20" s="116">
        <v>43872</v>
      </c>
      <c r="C20" s="14"/>
      <c r="D20" s="87"/>
      <c r="E20" s="87">
        <v>0</v>
      </c>
      <c r="F20" s="23">
        <v>-227124</v>
      </c>
      <c r="G20" s="26">
        <f>D20+E20+F20-E19-F19</f>
        <v>-891</v>
      </c>
      <c r="H20" s="132">
        <v>500</v>
      </c>
      <c r="I20" s="25">
        <v>-5300</v>
      </c>
      <c r="J20" s="63">
        <v>100</v>
      </c>
      <c r="K20" s="170">
        <f t="shared" si="8"/>
        <v>-4700</v>
      </c>
      <c r="L20" s="171">
        <v>-1</v>
      </c>
      <c r="M20" s="153"/>
      <c r="N20" s="149">
        <f t="shared" si="6"/>
        <v>-5592</v>
      </c>
      <c r="O20" s="67">
        <f t="shared" si="2"/>
        <v>1426313.5035714286</v>
      </c>
      <c r="P20" s="7">
        <f t="shared" si="4"/>
        <v>19968389.050000001</v>
      </c>
      <c r="Q20" s="164">
        <f>Q19+N20</f>
        <v>1680072.85</v>
      </c>
      <c r="R20" s="29">
        <f t="shared" si="3"/>
        <v>1230.7444045784887</v>
      </c>
      <c r="S20" s="5">
        <f>SUM($Q$7:$Q20)/T20</f>
        <v>1669541.7071428574</v>
      </c>
      <c r="T20" s="18">
        <v>14</v>
      </c>
      <c r="U20" s="138">
        <f>B19+8</f>
        <v>43879</v>
      </c>
      <c r="V20" s="131">
        <v>1372.5</v>
      </c>
      <c r="W20" s="105">
        <v>-1290225</v>
      </c>
      <c r="X20" s="167"/>
      <c r="Y20" s="156">
        <f>Y19-K20-L20</f>
        <v>-1290225</v>
      </c>
      <c r="Z20" s="217"/>
      <c r="AA20" s="92"/>
      <c r="AB20" s="92"/>
    </row>
    <row r="21" spans="2:31">
      <c r="B21" s="116">
        <v>43873</v>
      </c>
      <c r="C21" s="14" t="str">
        <f t="shared" si="0"/>
        <v/>
      </c>
      <c r="D21" s="87">
        <f>-842+900</f>
        <v>58</v>
      </c>
      <c r="E21" s="87">
        <v>23</v>
      </c>
      <c r="F21" s="23">
        <v>-225571</v>
      </c>
      <c r="G21" s="26">
        <f>D21+E21+F21-E20-F20</f>
        <v>1634</v>
      </c>
      <c r="H21" s="132">
        <v>500</v>
      </c>
      <c r="I21" s="25">
        <v>-100</v>
      </c>
      <c r="J21" s="63">
        <v>-100</v>
      </c>
      <c r="K21" s="170">
        <f t="shared" si="8"/>
        <v>300</v>
      </c>
      <c r="L21" s="171">
        <v>44</v>
      </c>
      <c r="M21" s="153"/>
      <c r="N21" s="149">
        <f>L21+K21+G21+M21</f>
        <v>1978</v>
      </c>
      <c r="O21" s="67">
        <f t="shared" si="2"/>
        <v>1434319.1933333336</v>
      </c>
      <c r="P21" s="7">
        <f t="shared" si="4"/>
        <v>21514787.900000002</v>
      </c>
      <c r="Q21" s="164">
        <f>Q20+N21+1</f>
        <v>1682051.85</v>
      </c>
      <c r="R21" s="29">
        <f t="shared" si="3"/>
        <v>1231.3584783725144</v>
      </c>
      <c r="S21" s="5">
        <f>SUM($Q$7:$Q21)/T21-1</f>
        <v>1670374.716666667</v>
      </c>
      <c r="T21" s="18">
        <v>15</v>
      </c>
      <c r="U21" s="4"/>
      <c r="V21" s="131"/>
      <c r="W21" s="105">
        <v>-1290569</v>
      </c>
      <c r="X21" s="167"/>
      <c r="Y21" s="156">
        <f>Y20-K21-L21</f>
        <v>-1290569</v>
      </c>
      <c r="Z21" s="217"/>
      <c r="AA21" s="92"/>
    </row>
    <row r="22" spans="2:31">
      <c r="B22" s="116">
        <v>43874</v>
      </c>
      <c r="C22" s="14" t="str">
        <f t="shared" si="0"/>
        <v/>
      </c>
      <c r="D22" s="87"/>
      <c r="E22" s="87">
        <v>0</v>
      </c>
      <c r="F22" s="23">
        <v>-227025</v>
      </c>
      <c r="G22" s="26">
        <f>D22+E22+F22-E21-F21</f>
        <v>-1477</v>
      </c>
      <c r="H22" s="132">
        <v>500</v>
      </c>
      <c r="I22" s="25">
        <v>-20600</v>
      </c>
      <c r="J22" s="63">
        <v>-100</v>
      </c>
      <c r="K22" s="170">
        <f t="shared" si="8"/>
        <v>-20200</v>
      </c>
      <c r="L22" s="171">
        <v>-21</v>
      </c>
      <c r="M22" s="153"/>
      <c r="N22" s="149">
        <f>L22+K22+G22+M22</f>
        <v>-21698</v>
      </c>
      <c r="O22" s="67">
        <f t="shared" si="2"/>
        <v>1439967.9843750002</v>
      </c>
      <c r="P22" s="7">
        <f t="shared" si="4"/>
        <v>23039487.750000004</v>
      </c>
      <c r="Q22" s="164">
        <f>Q21+N22-1</f>
        <v>1660352.85</v>
      </c>
      <c r="R22" s="29">
        <f t="shared" si="3"/>
        <v>1230.8966904528468</v>
      </c>
      <c r="S22" s="5">
        <f>SUM($Q$7:$Q22)/T22-1</f>
        <v>1669748.2875000003</v>
      </c>
      <c r="T22" s="18">
        <v>16</v>
      </c>
      <c r="U22" s="4"/>
      <c r="V22" s="131"/>
      <c r="W22" s="105">
        <v>-1270348</v>
      </c>
      <c r="X22" s="167"/>
      <c r="Y22" s="156">
        <f>Y21-K22-L22</f>
        <v>-1270348</v>
      </c>
      <c r="Z22" s="217"/>
      <c r="AA22" s="92"/>
    </row>
    <row r="23" spans="2:31">
      <c r="B23" s="116">
        <v>43875</v>
      </c>
      <c r="C23" s="14" t="str">
        <f t="shared" si="0"/>
        <v/>
      </c>
      <c r="D23" s="87"/>
      <c r="E23" s="87">
        <v>177</v>
      </c>
      <c r="F23" s="23">
        <v>-223226</v>
      </c>
      <c r="G23" s="26">
        <f t="shared" ref="G23" si="9">D23+E23+F23-E22-F22</f>
        <v>3976</v>
      </c>
      <c r="H23" s="132">
        <v>3500</v>
      </c>
      <c r="I23" s="25">
        <v>-9150</v>
      </c>
      <c r="J23" s="63">
        <v>-200</v>
      </c>
      <c r="K23" s="170">
        <f t="shared" si="8"/>
        <v>-5850</v>
      </c>
      <c r="L23" s="171">
        <v>-31</v>
      </c>
      <c r="M23" s="153"/>
      <c r="N23" s="149">
        <f>L23+K23+G23+M23</f>
        <v>-1905</v>
      </c>
      <c r="O23" s="67">
        <f t="shared" si="2"/>
        <v>1444840.0941176473</v>
      </c>
      <c r="P23" s="7">
        <f t="shared" si="4"/>
        <v>24562281.600000005</v>
      </c>
      <c r="Q23" s="164">
        <f>Q22+N23-1</f>
        <v>1658446.85</v>
      </c>
      <c r="R23" s="29">
        <f t="shared" si="3"/>
        <v>1230.407317372483</v>
      </c>
      <c r="S23" s="5">
        <f>SUM($Q$7:$Q23)/T23</f>
        <v>1669084.4382352945</v>
      </c>
      <c r="T23" s="18">
        <v>17</v>
      </c>
      <c r="U23" s="27"/>
      <c r="V23" s="135"/>
      <c r="W23" s="105">
        <v>-1264466</v>
      </c>
      <c r="X23" s="167"/>
      <c r="Y23" s="156">
        <f>Y22-K23-L23+1</f>
        <v>-1264466</v>
      </c>
      <c r="Z23" s="217"/>
      <c r="AA23" s="92"/>
    </row>
    <row r="24" spans="2:31">
      <c r="B24" s="116">
        <v>43876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1449170.8583333336</v>
      </c>
      <c r="P24" s="7">
        <f t="shared" si="4"/>
        <v>26085075.450000007</v>
      </c>
      <c r="Q24" s="164">
        <f t="shared" si="5"/>
        <v>1658446.85</v>
      </c>
      <c r="R24" s="29">
        <f t="shared" si="3"/>
        <v>1229.9716638121615</v>
      </c>
      <c r="S24" s="5">
        <f>SUM($Q$7:$Q24)/T24</f>
        <v>1668493.4611111116</v>
      </c>
      <c r="T24" s="18">
        <v>18</v>
      </c>
      <c r="U24" s="4"/>
      <c r="V24" s="135"/>
      <c r="W24" s="105">
        <v>-1264466</v>
      </c>
      <c r="X24" s="167"/>
      <c r="Y24" s="156">
        <f t="shared" si="7"/>
        <v>-1264466</v>
      </c>
      <c r="Z24" s="217"/>
      <c r="AA24" s="92"/>
      <c r="AD24" s="1"/>
      <c r="AE24" s="1"/>
    </row>
    <row r="25" spans="2:31">
      <c r="B25" s="116">
        <v>43877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1453045.7526315793</v>
      </c>
      <c r="P25" s="7">
        <f t="shared" si="4"/>
        <v>27607869.300000008</v>
      </c>
      <c r="Q25" s="164">
        <f t="shared" si="5"/>
        <v>1658446.85</v>
      </c>
      <c r="R25" s="29">
        <f t="shared" si="3"/>
        <v>1229.5803941713518</v>
      </c>
      <c r="S25" s="5">
        <f>SUM($Q$7:$Q25)/T25-2</f>
        <v>1667962.6921052637</v>
      </c>
      <c r="T25" s="18">
        <v>19</v>
      </c>
      <c r="U25" s="4"/>
      <c r="V25" s="131">
        <v>1440.6</v>
      </c>
      <c r="W25" s="105">
        <v>-1264466</v>
      </c>
      <c r="X25" s="167"/>
      <c r="Y25" s="156">
        <f t="shared" si="7"/>
        <v>-1264466</v>
      </c>
      <c r="Z25" s="217"/>
      <c r="AA25" s="92"/>
      <c r="AD25" s="1"/>
      <c r="AE25" s="1"/>
    </row>
    <row r="26" spans="2:31">
      <c r="B26" s="116">
        <v>43878</v>
      </c>
      <c r="C26" s="14" t="str">
        <f t="shared" si="0"/>
        <v/>
      </c>
      <c r="D26" s="87"/>
      <c r="E26" s="87">
        <v>0</v>
      </c>
      <c r="F26" s="23">
        <v>-225482</v>
      </c>
      <c r="G26" s="26">
        <f>D26+E26+F26-E23-F23</f>
        <v>-2433</v>
      </c>
      <c r="H26" s="132">
        <v>-4500</v>
      </c>
      <c r="I26" s="25">
        <v>-6500</v>
      </c>
      <c r="J26" s="63">
        <v>100</v>
      </c>
      <c r="K26" s="170">
        <f t="shared" si="8"/>
        <v>-10900</v>
      </c>
      <c r="L26" s="171">
        <v>-1</v>
      </c>
      <c r="M26" s="153"/>
      <c r="N26" s="149">
        <f t="shared" si="6"/>
        <v>-13334</v>
      </c>
      <c r="O26" s="67">
        <f t="shared" si="2"/>
        <v>1455866.4575000005</v>
      </c>
      <c r="P26" s="7">
        <f t="shared" si="4"/>
        <v>29117329.15000001</v>
      </c>
      <c r="Q26" s="164">
        <f>Q25+N26</f>
        <v>1645112.85</v>
      </c>
      <c r="R26" s="29">
        <f t="shared" si="3"/>
        <v>1228.7447384134523</v>
      </c>
      <c r="S26" s="5">
        <f>SUM($Q$7:$Q26)/T26+7</f>
        <v>1666829.1000000006</v>
      </c>
      <c r="T26" s="18">
        <v>20</v>
      </c>
      <c r="U26" s="138">
        <f>B26</f>
        <v>43878</v>
      </c>
      <c r="V26" s="131">
        <v>1435.4</v>
      </c>
      <c r="W26" s="105">
        <v>-1253565</v>
      </c>
      <c r="X26" s="167">
        <f>AVERAGE(W26:W34)</f>
        <v>-1233574</v>
      </c>
      <c r="Y26" s="156">
        <f>Y25-K26-L26-1</f>
        <v>-1253566</v>
      </c>
      <c r="Z26" s="217">
        <f>AVERAGE(Y26:Y34)</f>
        <v>-1233574.111111111</v>
      </c>
      <c r="AC26" s="92"/>
      <c r="AD26" s="1"/>
      <c r="AE26" s="1"/>
    </row>
    <row r="27" spans="2:31">
      <c r="B27" s="116">
        <v>43879</v>
      </c>
      <c r="C27" s="14" t="str">
        <f t="shared" si="0"/>
        <v/>
      </c>
      <c r="D27" s="87"/>
      <c r="E27" s="87">
        <v>5</v>
      </c>
      <c r="F27" s="23">
        <v>-223538</v>
      </c>
      <c r="G27" s="26">
        <f>D27+E27+F27-E26-F26</f>
        <v>1949</v>
      </c>
      <c r="H27" s="132">
        <v>-400</v>
      </c>
      <c r="I27" s="25">
        <v>-5800</v>
      </c>
      <c r="J27" s="63">
        <v>-100</v>
      </c>
      <c r="K27" s="170">
        <f t="shared" si="8"/>
        <v>-6300</v>
      </c>
      <c r="L27" s="171">
        <v>46</v>
      </c>
      <c r="M27" s="153"/>
      <c r="N27" s="149">
        <f>L27+K27+G27+M27</f>
        <v>-4305</v>
      </c>
      <c r="O27" s="67">
        <f t="shared" si="2"/>
        <v>1458213.5714285721</v>
      </c>
      <c r="P27" s="7">
        <f t="shared" si="4"/>
        <v>30622485.000000011</v>
      </c>
      <c r="Q27" s="164">
        <f>Q26+N27+2-1</f>
        <v>1640808.85</v>
      </c>
      <c r="R27" s="29">
        <f t="shared" si="3"/>
        <v>1227.8197856365316</v>
      </c>
      <c r="S27" s="5">
        <f>SUM($Q$7:$Q27)/T27-9</f>
        <v>1665574.3738095243</v>
      </c>
      <c r="T27" s="18">
        <v>21</v>
      </c>
      <c r="U27" s="138">
        <f>B28+6</f>
        <v>43886</v>
      </c>
      <c r="V27" s="159"/>
      <c r="W27" s="105">
        <v>-1247312</v>
      </c>
      <c r="X27" s="167"/>
      <c r="Y27" s="156">
        <f>Y26-K27-L27</f>
        <v>-1247312</v>
      </c>
      <c r="Z27" s="217"/>
      <c r="AA27" s="92"/>
      <c r="AD27" s="1"/>
      <c r="AE27" s="1"/>
    </row>
    <row r="28" spans="2:31">
      <c r="B28" s="116">
        <v>43880</v>
      </c>
      <c r="C28" s="14" t="str">
        <f t="shared" si="0"/>
        <v/>
      </c>
      <c r="D28" s="87">
        <f>-900+1017</f>
        <v>117</v>
      </c>
      <c r="E28" s="87">
        <v>26</v>
      </c>
      <c r="F28" s="23">
        <v>-227682</v>
      </c>
      <c r="G28" s="26">
        <f>D28+E28+F28-E27-F27</f>
        <v>-4006</v>
      </c>
      <c r="H28" s="132">
        <v>-15500</v>
      </c>
      <c r="I28" s="25">
        <v>-600</v>
      </c>
      <c r="J28" s="25">
        <v>-100</v>
      </c>
      <c r="K28" s="170">
        <f t="shared" si="8"/>
        <v>-16200</v>
      </c>
      <c r="L28" s="171">
        <v>-48</v>
      </c>
      <c r="M28" s="153"/>
      <c r="N28" s="149">
        <f>L28+K28+G28+M28-1</f>
        <v>-20255</v>
      </c>
      <c r="O28" s="67">
        <f t="shared" si="2"/>
        <v>1459426.6750000005</v>
      </c>
      <c r="P28" s="7">
        <f t="shared" si="4"/>
        <v>32107386.850000013</v>
      </c>
      <c r="Q28" s="164">
        <f>Q27+N28+1</f>
        <v>1620554.85</v>
      </c>
      <c r="R28" s="29">
        <f t="shared" si="3"/>
        <v>1226.3109719116223</v>
      </c>
      <c r="S28" s="5">
        <f>SUM($Q$7:$Q28)/T28-9</f>
        <v>1663527.6227272733</v>
      </c>
      <c r="T28" s="18">
        <v>22</v>
      </c>
      <c r="U28" s="4"/>
      <c r="V28" s="131"/>
      <c r="W28" s="105">
        <v>-1231063</v>
      </c>
      <c r="X28" s="167"/>
      <c r="Y28" s="156">
        <f>Y27-K28-L28+1</f>
        <v>-1231063</v>
      </c>
      <c r="Z28" s="217"/>
      <c r="AA28" s="92"/>
      <c r="AD28" s="1"/>
      <c r="AE28" s="1"/>
    </row>
    <row r="29" spans="2:31">
      <c r="B29" s="116">
        <v>43881</v>
      </c>
      <c r="C29" s="14" t="str">
        <f t="shared" si="0"/>
        <v/>
      </c>
      <c r="D29" s="87"/>
      <c r="E29" s="87">
        <v>15</v>
      </c>
      <c r="F29" s="23">
        <v>-228554</v>
      </c>
      <c r="G29" s="26">
        <f>D29+E29+F29-E28-F28</f>
        <v>-883</v>
      </c>
      <c r="H29" s="132">
        <v>-7500</v>
      </c>
      <c r="I29" s="25">
        <v>-800</v>
      </c>
      <c r="J29" s="25">
        <v>-100</v>
      </c>
      <c r="K29" s="170">
        <f t="shared" si="8"/>
        <v>-8400</v>
      </c>
      <c r="L29" s="171">
        <v>-17</v>
      </c>
      <c r="M29" s="153"/>
      <c r="N29" s="149">
        <f>L29+K29+G29+M29</f>
        <v>-9300</v>
      </c>
      <c r="O29" s="67">
        <f t="shared" si="2"/>
        <v>1460130.1173913048</v>
      </c>
      <c r="P29" s="7">
        <f t="shared" si="4"/>
        <v>33582992.70000001</v>
      </c>
      <c r="Q29" s="164">
        <f>Q28+N29+4</f>
        <v>1611258.85</v>
      </c>
      <c r="R29" s="29">
        <f t="shared" si="3"/>
        <v>1224.6449957516288</v>
      </c>
      <c r="S29" s="5">
        <f>SUM($Q$7:$Q29)/T29+4</f>
        <v>1661267.6760869571</v>
      </c>
      <c r="T29" s="18">
        <v>23</v>
      </c>
      <c r="U29" s="4"/>
      <c r="V29" s="131"/>
      <c r="W29" s="105">
        <v>-1222649</v>
      </c>
      <c r="X29" s="167"/>
      <c r="Y29" s="156">
        <f>Y28-K29-L29-3</f>
        <v>-1222649</v>
      </c>
      <c r="Z29" s="217"/>
      <c r="AA29" s="92"/>
      <c r="AD29" s="1"/>
      <c r="AE29" s="1"/>
    </row>
    <row r="30" spans="2:31">
      <c r="B30" s="116">
        <v>43882</v>
      </c>
      <c r="C30" s="14" t="str">
        <f t="shared" si="0"/>
        <v/>
      </c>
      <c r="D30" s="87"/>
      <c r="E30" s="87">
        <v>55</v>
      </c>
      <c r="F30" s="23">
        <v>-227690</v>
      </c>
      <c r="G30" s="26">
        <f>D30+E30+F30-E29-F29</f>
        <v>904</v>
      </c>
      <c r="H30" s="132">
        <v>2500</v>
      </c>
      <c r="I30" s="25">
        <v>9500</v>
      </c>
      <c r="J30" s="25">
        <v>-100</v>
      </c>
      <c r="K30" s="170">
        <f t="shared" si="8"/>
        <v>11900</v>
      </c>
      <c r="L30" s="171">
        <v>-28</v>
      </c>
      <c r="M30" s="153"/>
      <c r="N30" s="149">
        <f t="shared" si="6"/>
        <v>12776</v>
      </c>
      <c r="O30" s="67">
        <f t="shared" si="2"/>
        <v>1461306.9395833339</v>
      </c>
      <c r="P30" s="7">
        <f t="shared" si="4"/>
        <v>35071366.550000012</v>
      </c>
      <c r="Q30" s="164">
        <f>Q29+N30+1-9</f>
        <v>1624026.85</v>
      </c>
      <c r="R30" s="29">
        <f t="shared" si="3"/>
        <v>1223.5027177184929</v>
      </c>
      <c r="S30" s="5">
        <f>SUM($Q$7:$Q30)/T30+6</f>
        <v>1659718.1416666673</v>
      </c>
      <c r="T30" s="18">
        <v>24</v>
      </c>
      <c r="U30" s="4"/>
      <c r="V30" s="131"/>
      <c r="W30" s="105">
        <v>-1234513</v>
      </c>
      <c r="X30" s="167"/>
      <c r="Y30" s="156">
        <f>Y29-K30-L30+8</f>
        <v>-1234513</v>
      </c>
      <c r="Z30" s="217"/>
      <c r="AA30" s="92"/>
      <c r="AD30" s="1"/>
      <c r="AE30" s="1"/>
    </row>
    <row r="31" spans="2:31">
      <c r="B31" s="116">
        <v>43883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1462389.6160000006</v>
      </c>
      <c r="P31" s="7">
        <f t="shared" si="4"/>
        <v>36559740.400000013</v>
      </c>
      <c r="Q31" s="164">
        <f t="shared" si="5"/>
        <v>1624026.85</v>
      </c>
      <c r="R31" s="29">
        <f t="shared" si="3"/>
        <v>1222.4475168260199</v>
      </c>
      <c r="S31" s="5">
        <f>SUM($Q$7:$Q31)/T31+2</f>
        <v>1658286.7300000007</v>
      </c>
      <c r="T31" s="18">
        <v>25</v>
      </c>
      <c r="U31" s="4"/>
      <c r="V31" s="137"/>
      <c r="W31" s="105">
        <v>-1234513</v>
      </c>
      <c r="X31" s="167"/>
      <c r="Y31" s="156">
        <f t="shared" si="7"/>
        <v>-1234513</v>
      </c>
      <c r="Z31" s="217"/>
      <c r="AA31" s="92"/>
      <c r="AB31" s="92"/>
      <c r="AD31" s="1"/>
      <c r="AE31" s="1"/>
    </row>
    <row r="32" spans="2:31">
      <c r="B32" s="116">
        <v>43884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1463389.0096153852</v>
      </c>
      <c r="P32" s="7">
        <f t="shared" si="4"/>
        <v>38048114.250000015</v>
      </c>
      <c r="Q32" s="164">
        <f t="shared" si="5"/>
        <v>1624026.85</v>
      </c>
      <c r="R32" s="29">
        <f t="shared" si="3"/>
        <v>1221.4703097098993</v>
      </c>
      <c r="S32" s="5">
        <f>SUM($Q$7:$Q32)/T32-6</f>
        <v>1656961.1192307698</v>
      </c>
      <c r="T32" s="18">
        <v>26</v>
      </c>
      <c r="U32" s="27"/>
      <c r="V32" s="137"/>
      <c r="W32" s="105">
        <v>-1234513</v>
      </c>
      <c r="X32" s="167"/>
      <c r="Y32" s="156">
        <f t="shared" si="7"/>
        <v>-1234513</v>
      </c>
      <c r="Z32" s="217"/>
      <c r="AD32" s="1"/>
      <c r="AE32" s="1"/>
    </row>
    <row r="33" spans="2:31">
      <c r="B33" s="116">
        <v>43885</v>
      </c>
      <c r="C33" s="14" t="str">
        <f t="shared" si="0"/>
        <v/>
      </c>
      <c r="D33" s="87"/>
      <c r="E33" s="87">
        <v>22</v>
      </c>
      <c r="F33" s="23">
        <v>-225092</v>
      </c>
      <c r="G33" s="26">
        <f>D33+E33+F33-E30-F30</f>
        <v>2565</v>
      </c>
      <c r="H33" s="132">
        <v>-3500</v>
      </c>
      <c r="I33" s="25">
        <v>-10200</v>
      </c>
      <c r="J33" s="25">
        <v>-700</v>
      </c>
      <c r="K33" s="170">
        <f t="shared" si="8"/>
        <v>-14400</v>
      </c>
      <c r="L33" s="171">
        <v>-54</v>
      </c>
      <c r="M33" s="153"/>
      <c r="N33" s="149">
        <f t="shared" si="6"/>
        <v>-11889</v>
      </c>
      <c r="O33" s="67">
        <f t="shared" si="2"/>
        <v>1463874.0037037043</v>
      </c>
      <c r="P33" s="7">
        <f t="shared" si="4"/>
        <v>39524598.100000016</v>
      </c>
      <c r="Q33" s="164">
        <f>Q32+N33-1</f>
        <v>1612136.85</v>
      </c>
      <c r="R33" s="29">
        <f t="shared" si="3"/>
        <v>1220.2500047097296</v>
      </c>
      <c r="S33" s="5">
        <f>SUM($Q$7:$Q33)/T33-1</f>
        <v>1655305.7388888896</v>
      </c>
      <c r="T33" s="18">
        <v>27</v>
      </c>
      <c r="U33" s="138">
        <f>B33</f>
        <v>43885</v>
      </c>
      <c r="V33" s="131" t="s">
        <v>316</v>
      </c>
      <c r="W33" s="105">
        <v>-1220060</v>
      </c>
      <c r="X33" s="167">
        <f>AVERAGE(W33:W48)</f>
        <v>-1267973.25</v>
      </c>
      <c r="Y33" s="156">
        <f>Y32-K33-L33-1</f>
        <v>-1220060</v>
      </c>
      <c r="Z33" s="217">
        <f>AVERAGE(Y33:Y41)</f>
        <v>-1249082.6666666667</v>
      </c>
      <c r="AD33" s="1"/>
      <c r="AE33" s="1"/>
    </row>
    <row r="34" spans="2:31">
      <c r="B34" s="116">
        <v>43886</v>
      </c>
      <c r="C34" s="14" t="str">
        <f t="shared" si="0"/>
        <v/>
      </c>
      <c r="D34" s="87"/>
      <c r="E34" s="87">
        <v>29</v>
      </c>
      <c r="F34" s="23">
        <v>-230054</v>
      </c>
      <c r="G34" s="26">
        <f>D34+E34+F34-E33-F33</f>
        <v>-4955</v>
      </c>
      <c r="H34" s="132">
        <v>500</v>
      </c>
      <c r="I34" s="25">
        <v>4100</v>
      </c>
      <c r="J34" s="25">
        <v>-700</v>
      </c>
      <c r="K34" s="170">
        <f t="shared" si="8"/>
        <v>3900</v>
      </c>
      <c r="L34" s="171">
        <v>19</v>
      </c>
      <c r="M34" s="153"/>
      <c r="N34" s="149">
        <f>L34+K34+G34+M34</f>
        <v>-1036</v>
      </c>
      <c r="O34" s="67">
        <f t="shared" si="2"/>
        <v>1464287.3553571436</v>
      </c>
      <c r="P34" s="7">
        <f t="shared" si="4"/>
        <v>41000045.950000018</v>
      </c>
      <c r="Q34" s="164">
        <f>Q33+N34</f>
        <v>1611100.85</v>
      </c>
      <c r="R34" s="29">
        <f t="shared" si="3"/>
        <v>1219.0869034542973</v>
      </c>
      <c r="S34" s="5">
        <f>SUM($Q$7:$Q34)/T34</f>
        <v>1653727.9571428578</v>
      </c>
      <c r="T34" s="18">
        <v>28</v>
      </c>
      <c r="U34" s="138">
        <f>B33+8</f>
        <v>43893</v>
      </c>
      <c r="V34" s="131">
        <v>1405.7</v>
      </c>
      <c r="W34" s="105">
        <v>-1223978</v>
      </c>
      <c r="X34" s="167"/>
      <c r="Y34" s="156">
        <f>Y33-K34-L34+1</f>
        <v>-1223978</v>
      </c>
      <c r="Z34" s="217"/>
      <c r="AA34" s="92"/>
      <c r="AD34" s="1"/>
      <c r="AE34" s="1"/>
    </row>
    <row r="35" spans="2:31">
      <c r="B35" s="116">
        <v>43887</v>
      </c>
      <c r="C35" s="14" t="str">
        <f t="shared" si="0"/>
        <v/>
      </c>
      <c r="D35" s="87">
        <f>-1017+1724</f>
        <v>707</v>
      </c>
      <c r="E35" s="87">
        <v>36</v>
      </c>
      <c r="F35" s="23">
        <v>-231064</v>
      </c>
      <c r="G35" s="26">
        <f>D35+E35+F35-E34-F34</f>
        <v>-296</v>
      </c>
      <c r="H35" s="132">
        <v>500</v>
      </c>
      <c r="I35" s="25">
        <v>-1300</v>
      </c>
      <c r="J35" s="25">
        <v>-700</v>
      </c>
      <c r="K35" s="170">
        <f t="shared" si="8"/>
        <v>-1500</v>
      </c>
      <c r="L35" s="171">
        <v>-26</v>
      </c>
      <c r="M35" s="153"/>
      <c r="N35" s="149">
        <f t="shared" si="6"/>
        <v>-1822</v>
      </c>
      <c r="O35" s="67">
        <f t="shared" si="2"/>
        <v>1464609.441379311</v>
      </c>
      <c r="P35" s="7">
        <f t="shared" si="4"/>
        <v>42473673.800000019</v>
      </c>
      <c r="Q35" s="164">
        <f>Q34+N35+2</f>
        <v>1609280.85</v>
      </c>
      <c r="R35" s="29">
        <f t="shared" si="3"/>
        <v>1217.9570656571273</v>
      </c>
      <c r="S35" s="5">
        <f>SUM($Q$7:$Q35)/T35</f>
        <v>1652195.2982758628</v>
      </c>
      <c r="T35" s="18">
        <v>29</v>
      </c>
      <c r="U35" s="4"/>
      <c r="V35" s="131"/>
      <c r="W35" s="105">
        <v>-1222453</v>
      </c>
      <c r="X35" s="167"/>
      <c r="Y35" s="156">
        <f>Y34-K35-L35-1</f>
        <v>-1222453</v>
      </c>
      <c r="Z35" s="217"/>
      <c r="AA35" s="92"/>
      <c r="AD35" s="1"/>
      <c r="AE35" s="1"/>
    </row>
    <row r="36" spans="2:31">
      <c r="B36" s="116">
        <v>43888</v>
      </c>
      <c r="C36" s="14" t="str">
        <f t="shared" si="0"/>
        <v/>
      </c>
      <c r="D36" s="87">
        <f>-1424+808</f>
        <v>-616</v>
      </c>
      <c r="E36" s="87">
        <v>55</v>
      </c>
      <c r="F36" s="23">
        <v>-228022</v>
      </c>
      <c r="G36" s="26">
        <f>D36+E36+F36-E35-F35</f>
        <v>2445</v>
      </c>
      <c r="H36" s="132">
        <v>500</v>
      </c>
      <c r="I36" s="25">
        <v>1900</v>
      </c>
      <c r="J36" s="25">
        <v>-700</v>
      </c>
      <c r="K36" s="170">
        <f t="shared" si="8"/>
        <v>1700</v>
      </c>
      <c r="L36" s="171">
        <v>27</v>
      </c>
      <c r="M36" s="153"/>
      <c r="N36" s="149">
        <f t="shared" si="6"/>
        <v>4172</v>
      </c>
      <c r="O36" s="67">
        <f t="shared" si="2"/>
        <v>1465048.988333334</v>
      </c>
      <c r="P36" s="7">
        <f t="shared" si="4"/>
        <v>43951469.650000021</v>
      </c>
      <c r="Q36" s="164">
        <f>Q35+N36-4</f>
        <v>1613448.85</v>
      </c>
      <c r="R36" s="29">
        <f t="shared" si="3"/>
        <v>1217.0049685594868</v>
      </c>
      <c r="S36" s="5">
        <f>SUM($Q$7:$Q36)/T36</f>
        <v>1650903.7500000007</v>
      </c>
      <c r="T36" s="18">
        <v>30</v>
      </c>
      <c r="U36" s="4"/>
      <c r="V36" s="136"/>
      <c r="W36" s="105">
        <v>-1224177</v>
      </c>
      <c r="X36" s="167"/>
      <c r="Y36" s="156">
        <f>Y35-K36-L36+3</f>
        <v>-1224177</v>
      </c>
      <c r="Z36" s="217"/>
      <c r="AD36" s="1"/>
      <c r="AE36" s="1"/>
    </row>
    <row r="37" spans="2:31">
      <c r="B37" s="116">
        <v>43889</v>
      </c>
      <c r="C37" s="14" t="str">
        <f t="shared" si="0"/>
        <v/>
      </c>
      <c r="D37" s="87"/>
      <c r="E37" s="87">
        <v>0</v>
      </c>
      <c r="F37" s="23">
        <v>-256617</v>
      </c>
      <c r="G37" s="26">
        <f>D37+E37+F37-E36-F36</f>
        <v>-28650</v>
      </c>
      <c r="H37" s="132">
        <v>1100</v>
      </c>
      <c r="I37" s="25">
        <v>24400</v>
      </c>
      <c r="J37" s="25">
        <v>-700</v>
      </c>
      <c r="K37" s="170">
        <f t="shared" si="8"/>
        <v>24800</v>
      </c>
      <c r="L37" s="171">
        <v>8</v>
      </c>
      <c r="M37" s="153"/>
      <c r="N37" s="149">
        <f t="shared" si="6"/>
        <v>-3842</v>
      </c>
      <c r="O37" s="67">
        <f t="shared" si="2"/>
        <v>1465336.1451612911</v>
      </c>
      <c r="P37" s="7">
        <f t="shared" si="4"/>
        <v>45425420.500000022</v>
      </c>
      <c r="Q37" s="164">
        <f>Q36+N37-3</f>
        <v>1609603.85</v>
      </c>
      <c r="R37" s="29">
        <f t="shared" si="3"/>
        <v>1216.0236007764597</v>
      </c>
      <c r="S37" s="5">
        <f>SUM($Q$7:$Q37)/T37+1</f>
        <v>1649572.495161291</v>
      </c>
      <c r="T37" s="18">
        <v>31</v>
      </c>
      <c r="U37" s="27"/>
      <c r="V37" s="137"/>
      <c r="W37" s="105">
        <v>-1248982</v>
      </c>
      <c r="X37" s="167"/>
      <c r="Y37" s="156">
        <f>Y36-K37-L37+3</f>
        <v>-1248982</v>
      </c>
      <c r="Z37" s="217"/>
      <c r="AA37" s="92"/>
      <c r="AD37" s="1"/>
      <c r="AE37" s="1"/>
    </row>
    <row r="38" spans="2:31">
      <c r="B38" s="116">
        <v>43890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1465605.3546875007</v>
      </c>
      <c r="P38" s="7">
        <f t="shared" si="4"/>
        <v>46899371.350000024</v>
      </c>
      <c r="Q38" s="164">
        <f>Q37+N38</f>
        <v>1609603.85</v>
      </c>
      <c r="R38" s="29">
        <f t="shared" si="3"/>
        <v>1215.1021402033134</v>
      </c>
      <c r="S38" s="5">
        <f>SUM($Q$7:$Q38)/T38</f>
        <v>1648322.5062500008</v>
      </c>
      <c r="T38" s="18">
        <v>32</v>
      </c>
      <c r="U38" s="27"/>
      <c r="V38" s="137"/>
      <c r="W38" s="105">
        <v>-1248982</v>
      </c>
      <c r="X38" s="167"/>
      <c r="Y38" s="156">
        <f t="shared" si="7"/>
        <v>-1248982</v>
      </c>
      <c r="Z38" s="217"/>
      <c r="AD38" s="1"/>
      <c r="AE38" s="1"/>
    </row>
    <row r="39" spans="2:31">
      <c r="B39" s="116">
        <v>43891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1465858.2484848492</v>
      </c>
      <c r="P39" s="7">
        <f t="shared" si="4"/>
        <v>48373322.200000025</v>
      </c>
      <c r="Q39" s="164">
        <f>Q38+N39</f>
        <v>1609603.85</v>
      </c>
      <c r="R39" s="29">
        <f t="shared" si="3"/>
        <v>1214.2364810482368</v>
      </c>
      <c r="S39" s="5">
        <f>SUM($Q$7:$Q39)/T39-1</f>
        <v>1647148.2136363646</v>
      </c>
      <c r="T39" s="18">
        <v>33</v>
      </c>
      <c r="U39" s="27"/>
      <c r="V39" s="137"/>
      <c r="W39" s="105">
        <v>-1248982</v>
      </c>
      <c r="X39" s="167"/>
      <c r="Y39" s="156">
        <f t="shared" si="7"/>
        <v>-1248982</v>
      </c>
      <c r="Z39" s="217"/>
      <c r="AD39" s="1"/>
      <c r="AE39" s="1"/>
    </row>
    <row r="40" spans="2:31">
      <c r="B40" s="116">
        <v>43892</v>
      </c>
      <c r="C40" s="14" t="str">
        <f t="shared" si="0"/>
        <v/>
      </c>
      <c r="D40" s="87"/>
      <c r="E40" s="87">
        <v>0</v>
      </c>
      <c r="F40" s="23">
        <v>-242401</v>
      </c>
      <c r="G40" s="26">
        <f>D40+E40+F40-E37-F37</f>
        <v>14216</v>
      </c>
      <c r="H40" s="132">
        <v>20500</v>
      </c>
      <c r="I40" s="25">
        <v>30100</v>
      </c>
      <c r="J40" s="25">
        <v>-400</v>
      </c>
      <c r="K40" s="170">
        <f t="shared" si="8"/>
        <v>50200</v>
      </c>
      <c r="L40" s="171">
        <v>-21</v>
      </c>
      <c r="M40" s="153"/>
      <c r="N40" s="149">
        <f t="shared" si="6"/>
        <v>64395</v>
      </c>
      <c r="O40" s="67">
        <f t="shared" si="2"/>
        <v>1467990.2073529419</v>
      </c>
      <c r="P40" s="7">
        <f t="shared" si="4"/>
        <v>49911667.050000027</v>
      </c>
      <c r="Q40" s="164">
        <f>Q39+N40-1</f>
        <v>1673997.85</v>
      </c>
      <c r="R40" s="29">
        <f t="shared" si="3"/>
        <v>1214.819340089615</v>
      </c>
      <c r="S40" s="5">
        <f>SUM($Q$7:$Q40)/T40</f>
        <v>1647938.8794117656</v>
      </c>
      <c r="T40" s="18">
        <v>34</v>
      </c>
      <c r="U40" s="138">
        <f>B40</f>
        <v>43892</v>
      </c>
      <c r="V40" s="131" t="s">
        <v>317</v>
      </c>
      <c r="W40" s="105">
        <v>-1299160</v>
      </c>
      <c r="X40" s="167">
        <f>AVERAGE(W40:W62)</f>
        <v>-1278554.125</v>
      </c>
      <c r="Y40" s="156">
        <f>Y39-K40-L40+1</f>
        <v>-1299160</v>
      </c>
      <c r="Z40" s="217">
        <f>AVERAGE(Y40:Y48)</f>
        <v>-1294439.7777777778</v>
      </c>
      <c r="AD40" s="1"/>
      <c r="AE40" s="1"/>
    </row>
    <row r="41" spans="2:31">
      <c r="B41" s="116">
        <v>43893</v>
      </c>
      <c r="C41" s="14" t="str">
        <f t="shared" si="0"/>
        <v/>
      </c>
      <c r="D41" s="250"/>
      <c r="E41" s="250">
        <v>0</v>
      </c>
      <c r="F41" s="251">
        <v>-252483</v>
      </c>
      <c r="G41" s="252">
        <f>D41+E41+F41-E40-F40</f>
        <v>-10082</v>
      </c>
      <c r="H41" s="253">
        <v>500</v>
      </c>
      <c r="I41" s="254">
        <v>5700</v>
      </c>
      <c r="J41" s="254">
        <v>-400</v>
      </c>
      <c r="K41" s="255">
        <f t="shared" si="8"/>
        <v>5800</v>
      </c>
      <c r="L41" s="171">
        <v>11</v>
      </c>
      <c r="M41" s="153"/>
      <c r="N41" s="149">
        <f t="shared" si="6"/>
        <v>-4271</v>
      </c>
      <c r="O41" s="67">
        <f t="shared" si="2"/>
        <v>1469878.2828571436</v>
      </c>
      <c r="P41" s="7">
        <f t="shared" si="4"/>
        <v>51445739.900000028</v>
      </c>
      <c r="Q41" s="164">
        <f>Q40+N41-1</f>
        <v>1669725.85</v>
      </c>
      <c r="R41" s="29">
        <f t="shared" si="3"/>
        <v>1215.281169075299</v>
      </c>
      <c r="S41" s="5">
        <f>SUM($Q$7:$Q41)/T41+4</f>
        <v>1648565.3642857152</v>
      </c>
      <c r="T41" s="18">
        <v>35</v>
      </c>
      <c r="U41" s="138">
        <f>B40+8</f>
        <v>43900</v>
      </c>
      <c r="V41" s="131">
        <v>1371.6</v>
      </c>
      <c r="W41" s="105">
        <v>-1304970</v>
      </c>
      <c r="X41" s="167"/>
      <c r="Y41" s="156">
        <f t="shared" ref="Y41:Y42" si="10">Y40-K41-L41+1</f>
        <v>-1304970</v>
      </c>
      <c r="Z41" s="217"/>
      <c r="AD41" s="1"/>
      <c r="AE41" s="1"/>
    </row>
    <row r="42" spans="2:31">
      <c r="B42" s="116">
        <v>43894</v>
      </c>
      <c r="C42" s="14" t="str">
        <f t="shared" si="0"/>
        <v/>
      </c>
      <c r="D42" s="250">
        <f>-1724+1371.6</f>
        <v>-352.40000000000009</v>
      </c>
      <c r="E42" s="250">
        <v>6</v>
      </c>
      <c r="F42" s="251">
        <v>-250884</v>
      </c>
      <c r="G42" s="252">
        <f>D42+E42+F42-E41-F41</f>
        <v>1252.6000000000058</v>
      </c>
      <c r="H42" s="253">
        <v>500</v>
      </c>
      <c r="I42" s="254">
        <v>-10100</v>
      </c>
      <c r="J42" s="254">
        <v>-400</v>
      </c>
      <c r="K42" s="255">
        <f t="shared" si="8"/>
        <v>-10000</v>
      </c>
      <c r="L42" s="171">
        <v>28</v>
      </c>
      <c r="M42" s="153"/>
      <c r="N42" s="149">
        <f t="shared" si="6"/>
        <v>-8719.3999999999942</v>
      </c>
      <c r="O42" s="67">
        <f t="shared" si="2"/>
        <v>1471419.9263888898</v>
      </c>
      <c r="P42" s="7">
        <f t="shared" si="4"/>
        <v>52971117.350000031</v>
      </c>
      <c r="Q42" s="164">
        <f>Q41+N42+24</f>
        <v>1661030.4500000002</v>
      </c>
      <c r="R42" s="29">
        <f t="shared" si="3"/>
        <v>1215.5335508818666</v>
      </c>
      <c r="S42" s="5">
        <f>SUM($Q$7:$Q42)/T42</f>
        <v>1648907.7277777786</v>
      </c>
      <c r="T42" s="18">
        <v>36</v>
      </c>
      <c r="U42" s="138"/>
      <c r="V42" s="131"/>
      <c r="W42" s="105">
        <v>-1294997</v>
      </c>
      <c r="X42" s="167">
        <f>W42-Y42</f>
        <v>0</v>
      </c>
      <c r="Y42" s="156">
        <f t="shared" si="10"/>
        <v>-1294997</v>
      </c>
      <c r="Z42" s="217"/>
      <c r="AD42" s="1"/>
      <c r="AE42" s="1"/>
    </row>
    <row r="43" spans="2:31">
      <c r="B43" s="116">
        <v>43895</v>
      </c>
      <c r="C43" s="14" t="str">
        <f t="shared" si="0"/>
        <v/>
      </c>
      <c r="D43" s="250"/>
      <c r="E43" s="250">
        <v>8</v>
      </c>
      <c r="F43" s="251">
        <v>-251478</v>
      </c>
      <c r="G43" s="252">
        <f>D43+E43+F43-E42-F42</f>
        <v>-592</v>
      </c>
      <c r="H43" s="253">
        <v>500</v>
      </c>
      <c r="I43" s="254">
        <v>-2800</v>
      </c>
      <c r="J43" s="254">
        <v>-300</v>
      </c>
      <c r="K43" s="255">
        <f t="shared" si="8"/>
        <v>-2600</v>
      </c>
      <c r="L43" s="171">
        <v>-47</v>
      </c>
      <c r="M43" s="153"/>
      <c r="N43" s="149">
        <f t="shared" si="6"/>
        <v>-3239</v>
      </c>
      <c r="O43" s="67">
        <f t="shared" si="2"/>
        <v>1472790.6972972981</v>
      </c>
      <c r="P43" s="7">
        <f t="shared" si="4"/>
        <v>54493255.800000034</v>
      </c>
      <c r="Q43" s="164">
        <f t="shared" ref="Q43:Q46" si="11">Q42+N43</f>
        <v>1657791.4500000002</v>
      </c>
      <c r="R43" s="29">
        <f t="shared" si="3"/>
        <v>1215.7105470416277</v>
      </c>
      <c r="S43" s="5">
        <f>SUM($Q$7:$Q43)/T43</f>
        <v>1649147.8283783793</v>
      </c>
      <c r="T43" s="18">
        <v>37</v>
      </c>
      <c r="U43" s="138"/>
      <c r="V43" s="131"/>
      <c r="W43" s="105">
        <v>-1292349</v>
      </c>
      <c r="X43" s="167"/>
      <c r="Y43" s="156">
        <f>Y42-K43-L43+1</f>
        <v>-1292349</v>
      </c>
      <c r="Z43" s="217"/>
      <c r="AD43" s="1"/>
      <c r="AE43" s="1"/>
    </row>
    <row r="44" spans="2:31">
      <c r="B44" s="116">
        <v>43896</v>
      </c>
      <c r="C44" s="14" t="str">
        <f t="shared" si="0"/>
        <v/>
      </c>
      <c r="D44" s="250"/>
      <c r="E44" s="250">
        <v>14</v>
      </c>
      <c r="F44" s="251">
        <v>-248326</v>
      </c>
      <c r="G44" s="252">
        <f>D44+E44+F44-E43-F43</f>
        <v>3158</v>
      </c>
      <c r="H44" s="253">
        <v>500</v>
      </c>
      <c r="I44" s="254">
        <v>600</v>
      </c>
      <c r="J44" s="254">
        <v>-300</v>
      </c>
      <c r="K44" s="255">
        <f t="shared" si="8"/>
        <v>800</v>
      </c>
      <c r="L44" s="171">
        <v>-49</v>
      </c>
      <c r="M44" s="153"/>
      <c r="N44" s="149">
        <f t="shared" si="6"/>
        <v>3909</v>
      </c>
      <c r="O44" s="67">
        <f t="shared" si="2"/>
        <v>1474192.1644736852</v>
      </c>
      <c r="P44" s="7">
        <f t="shared" si="4"/>
        <v>56019302.250000037</v>
      </c>
      <c r="Q44" s="164">
        <f>Q43+N44-1</f>
        <v>1661699.4500000002</v>
      </c>
      <c r="R44" s="29">
        <f t="shared" si="3"/>
        <v>1215.954040242772</v>
      </c>
      <c r="S44" s="5">
        <f>SUM($Q$7:$Q44)/T44</f>
        <v>1649478.1342105274</v>
      </c>
      <c r="T44" s="18">
        <v>38</v>
      </c>
      <c r="U44" s="138"/>
      <c r="V44" s="131"/>
      <c r="W44" s="105">
        <v>-1293099</v>
      </c>
      <c r="X44" s="167"/>
      <c r="Y44" s="156">
        <f>Y43-K44-L44+1</f>
        <v>-1293099</v>
      </c>
      <c r="Z44" s="217"/>
      <c r="AD44" s="1"/>
      <c r="AE44" s="1"/>
    </row>
    <row r="45" spans="2:31">
      <c r="B45" s="116">
        <v>43897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1475521.7615384625</v>
      </c>
      <c r="P45" s="7">
        <f t="shared" si="4"/>
        <v>57545348.70000004</v>
      </c>
      <c r="Q45" s="164">
        <f t="shared" si="11"/>
        <v>1661699.4500000002</v>
      </c>
      <c r="R45" s="29">
        <f t="shared" si="3"/>
        <v>1216.1850466130882</v>
      </c>
      <c r="S45" s="5">
        <f>SUM($Q$7:$Q45)/T45</f>
        <v>1649791.5012820524</v>
      </c>
      <c r="T45" s="18">
        <v>39</v>
      </c>
      <c r="U45" s="138"/>
      <c r="V45" s="131"/>
      <c r="W45" s="105">
        <v>-1293099</v>
      </c>
      <c r="X45" s="167"/>
      <c r="Y45" s="156">
        <f>Y44-K45-L45</f>
        <v>-1293099</v>
      </c>
      <c r="Z45" s="217"/>
      <c r="AD45" s="1"/>
      <c r="AE45" s="1"/>
    </row>
    <row r="46" spans="2:31">
      <c r="B46" s="116">
        <v>43898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1476784.8787500011</v>
      </c>
      <c r="P46" s="7">
        <f t="shared" si="4"/>
        <v>59071395.150000043</v>
      </c>
      <c r="Q46" s="164">
        <f t="shared" si="11"/>
        <v>1661699.4500000002</v>
      </c>
      <c r="R46" s="29">
        <f t="shared" si="3"/>
        <v>1216.4008167898987</v>
      </c>
      <c r="S46" s="5">
        <f>SUM($Q$7:$Q46)/T46-5</f>
        <v>1650084.2000000011</v>
      </c>
      <c r="T46" s="18">
        <v>40</v>
      </c>
      <c r="U46" s="138"/>
      <c r="V46" s="131"/>
      <c r="W46" s="105">
        <v>-1293099</v>
      </c>
      <c r="X46" s="167"/>
      <c r="Y46" s="156">
        <f>Y45-K46-L46</f>
        <v>-1293099</v>
      </c>
      <c r="Z46" s="217"/>
      <c r="AD46" s="1"/>
      <c r="AE46" s="1"/>
    </row>
    <row r="47" spans="2:31">
      <c r="B47" s="116">
        <v>43899</v>
      </c>
      <c r="C47" s="14" t="str">
        <f t="shared" si="0"/>
        <v/>
      </c>
      <c r="D47" s="250"/>
      <c r="E47" s="250">
        <v>16</v>
      </c>
      <c r="F47" s="251">
        <v>-242125</v>
      </c>
      <c r="G47" s="252">
        <f>D47+E47+F47-E44-F44</f>
        <v>6203</v>
      </c>
      <c r="H47" s="253">
        <v>500</v>
      </c>
      <c r="I47" s="254">
        <v>-2900</v>
      </c>
      <c r="J47" s="254">
        <v>-1100</v>
      </c>
      <c r="K47" s="255">
        <f t="shared" si="8"/>
        <v>-3500</v>
      </c>
      <c r="L47" s="171">
        <v>22</v>
      </c>
      <c r="M47" s="153"/>
      <c r="N47" s="149">
        <f t="shared" si="6"/>
        <v>2725</v>
      </c>
      <c r="O47" s="67">
        <f t="shared" si="2"/>
        <v>1478052.84390244</v>
      </c>
      <c r="P47" s="7">
        <f t="shared" si="4"/>
        <v>60600166.600000046</v>
      </c>
      <c r="Q47" s="164">
        <f>Q46+N47</f>
        <v>1664424.4500000002</v>
      </c>
      <c r="R47" s="29">
        <f t="shared" si="3"/>
        <v>1216.6622487109785</v>
      </c>
      <c r="S47" s="5">
        <f>SUM($Q$7:$Q47)/T47</f>
        <v>1650438.8402439037</v>
      </c>
      <c r="T47" s="18">
        <v>41</v>
      </c>
      <c r="U47" s="138">
        <f>B47</f>
        <v>43899</v>
      </c>
      <c r="V47" s="131" t="s">
        <v>318</v>
      </c>
      <c r="W47" s="105">
        <v>-1289621</v>
      </c>
      <c r="X47" s="167">
        <f>AVERAGE(W47:W69)</f>
        <v>-1265121.4444444445</v>
      </c>
      <c r="Y47" s="156">
        <f t="shared" ref="Y47:Y53" si="12">Y46-K47-L47</f>
        <v>-1289621</v>
      </c>
      <c r="Z47" s="217"/>
      <c r="AD47" s="1"/>
      <c r="AE47" s="1"/>
    </row>
    <row r="48" spans="2:31">
      <c r="B48" s="116">
        <v>43900</v>
      </c>
      <c r="C48" s="14" t="str">
        <f t="shared" si="0"/>
        <v/>
      </c>
      <c r="D48" s="250"/>
      <c r="E48" s="250">
        <v>8</v>
      </c>
      <c r="F48" s="251">
        <v>-252607</v>
      </c>
      <c r="G48" s="252">
        <f>D48+E48+F48-E47-F47</f>
        <v>-10490</v>
      </c>
      <c r="H48" s="253">
        <v>500</v>
      </c>
      <c r="I48" s="254">
        <v>500</v>
      </c>
      <c r="J48" s="254">
        <v>-1100</v>
      </c>
      <c r="K48" s="255">
        <f t="shared" si="8"/>
        <v>-100</v>
      </c>
      <c r="L48" s="171">
        <v>42</v>
      </c>
      <c r="M48" s="153"/>
      <c r="N48" s="149">
        <f t="shared" si="6"/>
        <v>-10548</v>
      </c>
      <c r="O48" s="67">
        <f t="shared" si="2"/>
        <v>1479009.310714287</v>
      </c>
      <c r="P48" s="7">
        <f t="shared" si="4"/>
        <v>62118391.050000049</v>
      </c>
      <c r="Q48" s="164">
        <f>Q47+N48+1</f>
        <v>1653877.4500000002</v>
      </c>
      <c r="R48" s="29">
        <f t="shared" si="3"/>
        <v>1216.7240768024024</v>
      </c>
      <c r="S48" s="5">
        <f>SUM($Q$7:$Q48)/T48+2</f>
        <v>1650522.711904763</v>
      </c>
      <c r="T48" s="18">
        <v>42</v>
      </c>
      <c r="U48" s="138">
        <f>B47+8</f>
        <v>43907</v>
      </c>
      <c r="V48" s="131">
        <v>1408</v>
      </c>
      <c r="W48" s="105">
        <v>-1289564</v>
      </c>
      <c r="X48" s="167"/>
      <c r="Y48" s="156">
        <f>Y47-K48-L48-1</f>
        <v>-1289564</v>
      </c>
      <c r="Z48" s="217"/>
      <c r="AD48" s="1"/>
      <c r="AE48" s="1"/>
    </row>
    <row r="49" spans="2:31">
      <c r="B49" s="116">
        <v>43901</v>
      </c>
      <c r="C49" s="14" t="str">
        <f t="shared" si="0"/>
        <v/>
      </c>
      <c r="D49" s="250">
        <f>-1397+2163</f>
        <v>766</v>
      </c>
      <c r="E49" s="250">
        <v>13</v>
      </c>
      <c r="F49" s="251">
        <v>-288714</v>
      </c>
      <c r="G49" s="252">
        <f t="shared" ref="G49:G53" si="13">D49+E49+F49-E48-F48</f>
        <v>-35336</v>
      </c>
      <c r="H49" s="253">
        <v>500</v>
      </c>
      <c r="I49" s="254">
        <v>-2100</v>
      </c>
      <c r="J49" s="254">
        <v>-1100</v>
      </c>
      <c r="K49" s="255">
        <f t="shared" si="8"/>
        <v>-2700</v>
      </c>
      <c r="L49" s="171">
        <v>13</v>
      </c>
      <c r="M49" s="153"/>
      <c r="N49" s="149">
        <f t="shared" si="6"/>
        <v>-38023</v>
      </c>
      <c r="O49" s="67">
        <f t="shared" si="2"/>
        <v>1479037.0581395361</v>
      </c>
      <c r="P49" s="7">
        <f t="shared" si="4"/>
        <v>63598593.500000052</v>
      </c>
      <c r="Q49" s="164">
        <f>Q48+N49+1</f>
        <v>1615855.4500000002</v>
      </c>
      <c r="R49" s="29">
        <f t="shared" si="3"/>
        <v>1216.1283149088167</v>
      </c>
      <c r="S49" s="5">
        <f>SUM($Q$7:$Q49)/T49</f>
        <v>1649714.5430232571</v>
      </c>
      <c r="T49" s="18">
        <v>43</v>
      </c>
      <c r="U49" s="138"/>
      <c r="V49" s="131"/>
      <c r="W49" s="105">
        <v>-1286878</v>
      </c>
      <c r="X49" s="167"/>
      <c r="Y49" s="156">
        <f>Y48-K49-L49-1</f>
        <v>-1286878</v>
      </c>
      <c r="Z49" s="217"/>
      <c r="AD49" s="1"/>
      <c r="AE49" s="1"/>
    </row>
    <row r="50" spans="2:31">
      <c r="B50" s="116">
        <v>43902</v>
      </c>
      <c r="C50" s="14" t="str">
        <f t="shared" si="0"/>
        <v/>
      </c>
      <c r="D50" s="250"/>
      <c r="E50" s="250">
        <v>7</v>
      </c>
      <c r="F50" s="251">
        <v>-285687</v>
      </c>
      <c r="G50" s="252">
        <f t="shared" si="13"/>
        <v>3021</v>
      </c>
      <c r="H50" s="253">
        <v>500</v>
      </c>
      <c r="I50" s="254">
        <v>-4500</v>
      </c>
      <c r="J50" s="254">
        <v>-1100</v>
      </c>
      <c r="K50" s="255">
        <f t="shared" si="8"/>
        <v>-5100</v>
      </c>
      <c r="L50" s="171">
        <v>41</v>
      </c>
      <c r="M50" s="153"/>
      <c r="N50" s="149">
        <f t="shared" si="6"/>
        <v>-2038</v>
      </c>
      <c r="O50" s="67">
        <f t="shared" si="2"/>
        <v>1479017.2034090923</v>
      </c>
      <c r="P50" s="7">
        <f t="shared" si="4"/>
        <v>65076756.950000055</v>
      </c>
      <c r="Q50" s="164">
        <f>Q49+N50-1</f>
        <v>1613816.4500000002</v>
      </c>
      <c r="R50" s="29">
        <f t="shared" si="3"/>
        <v>1215.5158214508551</v>
      </c>
      <c r="S50" s="5">
        <f>SUM($Q$7:$Q50)/T50-15</f>
        <v>1648883.6772727286</v>
      </c>
      <c r="T50" s="18">
        <v>44</v>
      </c>
      <c r="U50" s="138"/>
      <c r="V50" s="131"/>
      <c r="W50" s="105">
        <v>-1281820</v>
      </c>
      <c r="X50" s="167"/>
      <c r="Y50" s="156">
        <f>Y49-K50-L50-1</f>
        <v>-1281820</v>
      </c>
      <c r="Z50" s="217"/>
      <c r="AD50" s="1"/>
      <c r="AE50" s="1"/>
    </row>
    <row r="51" spans="2:31">
      <c r="B51" s="116">
        <v>43903</v>
      </c>
      <c r="C51" s="14" t="str">
        <f t="shared" si="0"/>
        <v/>
      </c>
      <c r="D51" s="250"/>
      <c r="E51" s="250">
        <v>8</v>
      </c>
      <c r="F51" s="251">
        <v>-284106</v>
      </c>
      <c r="G51" s="252">
        <f t="shared" si="13"/>
        <v>1582</v>
      </c>
      <c r="H51" s="253">
        <v>500</v>
      </c>
      <c r="I51" s="254">
        <v>-15300</v>
      </c>
      <c r="J51" s="254">
        <v>-1100</v>
      </c>
      <c r="K51" s="255">
        <f t="shared" si="8"/>
        <v>-15900</v>
      </c>
      <c r="L51" s="171">
        <v>43</v>
      </c>
      <c r="M51" s="153"/>
      <c r="N51" s="149">
        <f t="shared" si="6"/>
        <v>-14275</v>
      </c>
      <c r="O51" s="67">
        <f t="shared" si="2"/>
        <v>1478681.0755555569</v>
      </c>
      <c r="P51" s="7">
        <f t="shared" si="4"/>
        <v>66540648.400000058</v>
      </c>
      <c r="Q51" s="164">
        <f>Q50+N51+2+1</f>
        <v>1599544.4500000002</v>
      </c>
      <c r="R51" s="29">
        <f t="shared" si="3"/>
        <v>1214.7183745782754</v>
      </c>
      <c r="S51" s="5">
        <f>SUM($Q$7:$Q51)/T51</f>
        <v>1647801.9166666679</v>
      </c>
      <c r="T51" s="18">
        <v>45</v>
      </c>
      <c r="U51" s="138"/>
      <c r="V51" s="131"/>
      <c r="W51" s="105">
        <v>-1265964</v>
      </c>
      <c r="X51" s="167"/>
      <c r="Y51" s="156">
        <f>Y50-K51-L51-1</f>
        <v>-1265964</v>
      </c>
      <c r="Z51" s="217"/>
      <c r="AD51" s="1"/>
      <c r="AE51" s="1"/>
    </row>
    <row r="52" spans="2:31">
      <c r="B52" s="116">
        <v>43904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6"/>
        <v>0</v>
      </c>
      <c r="O52" s="67">
        <f t="shared" si="2"/>
        <v>1478359.561956523</v>
      </c>
      <c r="P52" s="7">
        <f t="shared" si="4"/>
        <v>68004539.850000054</v>
      </c>
      <c r="Q52" s="164">
        <f t="shared" ref="Q52:Q53" si="14">Q51+N52</f>
        <v>1599544.4500000002</v>
      </c>
      <c r="R52" s="29">
        <f t="shared" si="3"/>
        <v>1213.9450224501848</v>
      </c>
      <c r="S52" s="5">
        <f>SUM($Q$7:$Q52)/T52</f>
        <v>1646752.8413043492</v>
      </c>
      <c r="T52" s="18">
        <v>46</v>
      </c>
      <c r="U52" s="138"/>
      <c r="V52" s="131"/>
      <c r="W52" s="105">
        <v>-1265964</v>
      </c>
      <c r="X52" s="167"/>
      <c r="Y52" s="156">
        <f t="shared" si="12"/>
        <v>-1265964</v>
      </c>
      <c r="Z52" s="217"/>
      <c r="AD52" s="1"/>
      <c r="AE52" s="1"/>
    </row>
    <row r="53" spans="2:31" ht="11.25" customHeight="1">
      <c r="B53" s="116">
        <v>43905</v>
      </c>
      <c r="C53" s="14" t="str">
        <f t="shared" si="0"/>
        <v>F</v>
      </c>
      <c r="D53" s="250"/>
      <c r="E53" s="250"/>
      <c r="F53" s="251"/>
      <c r="G53" s="252">
        <f t="shared" si="13"/>
        <v>0</v>
      </c>
      <c r="H53" s="253"/>
      <c r="I53" s="254"/>
      <c r="J53" s="254"/>
      <c r="K53" s="255"/>
      <c r="L53" s="171"/>
      <c r="M53" s="153"/>
      <c r="N53" s="149">
        <f t="shared" si="6"/>
        <v>0</v>
      </c>
      <c r="O53" s="67">
        <f t="shared" si="2"/>
        <v>1478051.7297872351</v>
      </c>
      <c r="P53" s="7">
        <f t="shared" si="4"/>
        <v>69468431.300000057</v>
      </c>
      <c r="Q53" s="164">
        <f t="shared" si="14"/>
        <v>1599544.4500000002</v>
      </c>
      <c r="R53" s="29">
        <f t="shared" si="3"/>
        <v>1213.2045789232893</v>
      </c>
      <c r="S53" s="5">
        <f>SUM($Q$7:$Q53)/T53</f>
        <v>1645748.4074468098</v>
      </c>
      <c r="T53" s="18">
        <v>47</v>
      </c>
      <c r="U53" s="138"/>
      <c r="V53" s="131"/>
      <c r="W53" s="105">
        <v>-1265964</v>
      </c>
      <c r="X53" s="167"/>
      <c r="Y53" s="156">
        <f t="shared" si="12"/>
        <v>-1265964</v>
      </c>
      <c r="Z53" s="217"/>
      <c r="AD53" s="1"/>
      <c r="AE53" s="1"/>
    </row>
    <row r="54" spans="2:31">
      <c r="B54" s="116">
        <v>43906</v>
      </c>
      <c r="C54" s="14" t="str">
        <f t="shared" si="0"/>
        <v/>
      </c>
      <c r="D54" s="250"/>
      <c r="E54" s="250">
        <v>2</v>
      </c>
      <c r="F54" s="251">
        <v>-259483</v>
      </c>
      <c r="G54" s="252">
        <f>D54+E54+F54-E51-F51</f>
        <v>24617</v>
      </c>
      <c r="H54" s="253">
        <v>-4000</v>
      </c>
      <c r="I54" s="254">
        <v>-35700</v>
      </c>
      <c r="J54" s="254">
        <v>-3700</v>
      </c>
      <c r="K54" s="255">
        <f t="shared" si="8"/>
        <v>-43400</v>
      </c>
      <c r="L54" s="171">
        <v>23</v>
      </c>
      <c r="M54" s="153"/>
      <c r="N54" s="149">
        <f t="shared" si="6"/>
        <v>-18760</v>
      </c>
      <c r="O54" s="67">
        <f t="shared" si="2"/>
        <v>1477365.9531250012</v>
      </c>
      <c r="P54" s="7">
        <f t="shared" si="4"/>
        <v>70913565.75000006</v>
      </c>
      <c r="Q54" s="164">
        <f>Q53+N54+3</f>
        <v>1580787.4500000002</v>
      </c>
      <c r="R54" s="29">
        <f t="shared" si="3"/>
        <v>1212.2083950717406</v>
      </c>
      <c r="S54" s="5">
        <f>SUM($Q$7:$Q54)/T54+2</f>
        <v>1644397.0541666681</v>
      </c>
      <c r="T54" s="18">
        <v>48</v>
      </c>
      <c r="U54" s="138"/>
      <c r="V54" s="131"/>
      <c r="W54" s="105">
        <v>-1222590</v>
      </c>
      <c r="X54" s="167"/>
      <c r="Y54" s="156">
        <f>Y53-K54-L54-3</f>
        <v>-1222590</v>
      </c>
      <c r="Z54" s="217"/>
      <c r="AD54" s="1"/>
      <c r="AE54" s="1"/>
    </row>
    <row r="55" spans="2:31" ht="12.75" thickBot="1">
      <c r="B55" s="220">
        <v>43907</v>
      </c>
      <c r="C55" s="221" t="str">
        <f t="shared" si="0"/>
        <v/>
      </c>
      <c r="D55" s="222"/>
      <c r="E55" s="222">
        <v>0</v>
      </c>
      <c r="F55" s="223">
        <v>-291447</v>
      </c>
      <c r="G55" s="224">
        <f>D55+E55+F55-E54-F54</f>
        <v>-31966</v>
      </c>
      <c r="H55" s="225">
        <v>500</v>
      </c>
      <c r="I55" s="226">
        <v>-1700</v>
      </c>
      <c r="J55" s="226">
        <v>-3700</v>
      </c>
      <c r="K55" s="173">
        <f t="shared" si="8"/>
        <v>-4900</v>
      </c>
      <c r="L55" s="174">
        <v>37</v>
      </c>
      <c r="M55" s="229"/>
      <c r="N55" s="230">
        <f t="shared" si="6"/>
        <v>-36829</v>
      </c>
      <c r="O55" s="231">
        <f t="shared" si="2"/>
        <v>1475956.5959183685</v>
      </c>
      <c r="P55" s="232">
        <f t="shared" si="4"/>
        <v>72321873.200000063</v>
      </c>
      <c r="Q55" s="233">
        <f>Q54+N55+1+1</f>
        <v>1543960.4500000002</v>
      </c>
      <c r="R55" s="234">
        <f t="shared" si="3"/>
        <v>1210.6981551217802</v>
      </c>
      <c r="S55" s="235">
        <f>SUM($Q$7:$Q55)/T55+3</f>
        <v>1642348.3683673483</v>
      </c>
      <c r="T55" s="236">
        <v>49</v>
      </c>
      <c r="U55" s="237"/>
      <c r="V55" s="244"/>
      <c r="W55" s="239">
        <v>-1217728</v>
      </c>
      <c r="X55" s="240"/>
      <c r="Y55" s="241">
        <f>Y54-K55-L55-1</f>
        <v>-1217728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'Jan 2020'!Q48</f>
        <v>1548919.85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'Jan 2020'!E48</f>
        <v>0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'Jan 2020'!F48</f>
        <v>-330929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'Jan 2020'!X48</f>
        <v>-1262708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B1:IU65532"/>
  <sheetViews>
    <sheetView zoomScaleNormal="10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H54" sqref="H54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135703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43908</v>
      </c>
      <c r="C7" s="196" t="str">
        <f t="shared" ref="C7:C55" si="0">IF(OR(WEEKDAY(B7)=1,WEEKDAY(B7)=7),"F","")</f>
        <v/>
      </c>
      <c r="D7" s="197">
        <f>-2163+1470+109131</f>
        <v>108438</v>
      </c>
      <c r="E7" s="197">
        <v>49</v>
      </c>
      <c r="F7" s="198">
        <v>-208534</v>
      </c>
      <c r="G7" s="199">
        <f>D7+E7+F7-G60-G61</f>
        <v>191400</v>
      </c>
      <c r="H7" s="200">
        <v>-5500</v>
      </c>
      <c r="I7" s="201">
        <v>-15100</v>
      </c>
      <c r="J7" s="201">
        <v>-3800</v>
      </c>
      <c r="K7" s="300">
        <f t="shared" ref="K7:K9" si="1">+H7+I7+J7</f>
        <v>-24400</v>
      </c>
      <c r="L7" s="169">
        <v>29</v>
      </c>
      <c r="M7" s="203"/>
      <c r="N7" s="204">
        <f>L7+K7+G7+M7</f>
        <v>167029</v>
      </c>
      <c r="O7" s="205">
        <f t="shared" ref="O7:O55" si="2">P7/T7</f>
        <v>1575285.4500000002</v>
      </c>
      <c r="P7" s="206">
        <f>(+$Q7-$Q$3)</f>
        <v>1575285.4500000002</v>
      </c>
      <c r="Q7" s="207">
        <f>G59+N7-1</f>
        <v>1710988.4500000002</v>
      </c>
      <c r="R7" s="208">
        <f t="shared" ref="R7:R55" si="3">$S7/$Q$3*100</f>
        <v>1260.8331798117949</v>
      </c>
      <c r="S7" s="209">
        <f>$Q7</f>
        <v>1710988.4500000002</v>
      </c>
      <c r="T7" s="210">
        <v>1</v>
      </c>
      <c r="U7" s="211">
        <f>B7</f>
        <v>43908</v>
      </c>
      <c r="V7" s="212" t="s">
        <v>319</v>
      </c>
      <c r="W7" s="213">
        <v>-1193357</v>
      </c>
      <c r="X7" s="214">
        <f>AVERAGE(W7:W15)</f>
        <v>-1183067.2222222222</v>
      </c>
      <c r="Y7" s="215">
        <f>-L7-K7+'Feb 2020'!Y55</f>
        <v>-1193357</v>
      </c>
      <c r="Z7" s="216">
        <f>AVERAGE(Y7:Y11)</f>
        <v>-1188177.3999999999</v>
      </c>
      <c r="AA7" s="92"/>
    </row>
    <row r="8" spans="2:255">
      <c r="B8" s="116">
        <v>43909</v>
      </c>
      <c r="C8" s="14"/>
      <c r="D8" s="128"/>
      <c r="E8" s="128">
        <v>18</v>
      </c>
      <c r="F8" s="162">
        <v>-208426</v>
      </c>
      <c r="G8" s="26">
        <f>D8+E8+F8-E7-F7</f>
        <v>77</v>
      </c>
      <c r="H8" s="132">
        <v>-7500</v>
      </c>
      <c r="I8" s="63">
        <v>3800</v>
      </c>
      <c r="J8" s="63">
        <v>-3800</v>
      </c>
      <c r="K8" s="301">
        <f t="shared" si="1"/>
        <v>-7500</v>
      </c>
      <c r="L8" s="171">
        <v>-26</v>
      </c>
      <c r="M8" s="153"/>
      <c r="N8" s="149">
        <f>L8+K8+G8+M8</f>
        <v>-7449</v>
      </c>
      <c r="O8" s="67">
        <f t="shared" si="2"/>
        <v>783918.22500000009</v>
      </c>
      <c r="P8" s="163">
        <f>(IF($Q8&lt;0,-$Q$3+P6,($Q8-$Q$3)+P6))</f>
        <v>1567836.4500000002</v>
      </c>
      <c r="Q8" s="164">
        <f>Q7+N8</f>
        <v>1703539.4500000002</v>
      </c>
      <c r="R8" s="29">
        <f t="shared" si="3"/>
        <v>1258.0885831558626</v>
      </c>
      <c r="S8" s="165">
        <f>SUM($Q$7:$Q8)/T8</f>
        <v>1707263.9500000002</v>
      </c>
      <c r="T8" s="166">
        <v>2</v>
      </c>
      <c r="U8" s="138">
        <f>B7+6</f>
        <v>43914</v>
      </c>
      <c r="V8" s="131">
        <v>1502.4</v>
      </c>
      <c r="W8" s="105">
        <v>-1185831</v>
      </c>
      <c r="X8" s="167"/>
      <c r="Y8" s="156">
        <f>Y7-K8-L8</f>
        <v>-1185831</v>
      </c>
      <c r="Z8" s="217"/>
      <c r="AA8" s="92"/>
    </row>
    <row r="9" spans="2:255">
      <c r="B9" s="116">
        <v>43910</v>
      </c>
      <c r="C9" s="14" t="str">
        <f t="shared" si="0"/>
        <v/>
      </c>
      <c r="D9" s="87"/>
      <c r="E9" s="87">
        <v>4</v>
      </c>
      <c r="F9" s="23">
        <v>-200425</v>
      </c>
      <c r="G9" s="26">
        <f>D9+E9+F9-E8-F8</f>
        <v>7987</v>
      </c>
      <c r="H9" s="132">
        <v>-200</v>
      </c>
      <c r="I9" s="63">
        <v>5400</v>
      </c>
      <c r="J9" s="63">
        <v>-3800</v>
      </c>
      <c r="K9" s="301">
        <f t="shared" si="1"/>
        <v>1400</v>
      </c>
      <c r="L9" s="171">
        <v>1</v>
      </c>
      <c r="M9" s="153"/>
      <c r="N9" s="149">
        <f>L9+K9+G9+M9</f>
        <v>9388</v>
      </c>
      <c r="O9" s="67">
        <f>P9/T9</f>
        <v>1050836.9666666668</v>
      </c>
      <c r="P9" s="7">
        <f>(IF($Q9&lt;0,-$Q$3+P7,($Q9-$Q$3)+P7))</f>
        <v>3152510.9000000004</v>
      </c>
      <c r="Q9" s="164">
        <f>Q8+N9+1</f>
        <v>1712928.4500000002</v>
      </c>
      <c r="R9" s="29">
        <f t="shared" si="3"/>
        <v>1259.4807164665976</v>
      </c>
      <c r="S9" s="5">
        <f>SUM($Q$7:$Q9)/T9+1</f>
        <v>1709153.1166666669</v>
      </c>
      <c r="T9" s="17">
        <v>3</v>
      </c>
      <c r="U9" s="4"/>
      <c r="V9" s="131"/>
      <c r="W9" s="105">
        <v>-1187233</v>
      </c>
      <c r="X9" s="167"/>
      <c r="Y9" s="156">
        <f>Y8-K9-L9-1</f>
        <v>-1187233</v>
      </c>
      <c r="Z9" s="217"/>
      <c r="AA9" s="92"/>
    </row>
    <row r="10" spans="2:255">
      <c r="B10" s="116">
        <v>43911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301"/>
      <c r="L10" s="171"/>
      <c r="M10" s="153"/>
      <c r="N10" s="149">
        <f>L10+K10+G10+M10</f>
        <v>0</v>
      </c>
      <c r="O10" s="67">
        <f t="shared" si="2"/>
        <v>1182434.0875000001</v>
      </c>
      <c r="P10" s="7">
        <f t="shared" ref="P10:P55" si="4">(IF($Q10&lt;0,-$Q$3+P9,($Q10-$Q$3)+P9))</f>
        <v>4729736.3500000006</v>
      </c>
      <c r="Q10" s="164">
        <f t="shared" ref="Q10:Q32" si="5">Q9+N10</f>
        <v>1712928.4500000002</v>
      </c>
      <c r="R10" s="29">
        <f t="shared" si="3"/>
        <v>1260.1749408635035</v>
      </c>
      <c r="S10" s="5">
        <f>SUM($Q$7:$Q10)/T10-1</f>
        <v>1710095.2000000002</v>
      </c>
      <c r="T10" s="17">
        <v>4</v>
      </c>
      <c r="U10" s="27"/>
      <c r="V10" s="133"/>
      <c r="W10" s="105">
        <v>-1187233</v>
      </c>
      <c r="X10" s="167"/>
      <c r="Y10" s="156">
        <f>Y9-K10-L10</f>
        <v>-1187233</v>
      </c>
      <c r="Z10" s="217"/>
      <c r="AA10" s="92"/>
    </row>
    <row r="11" spans="2:255">
      <c r="B11" s="116">
        <v>43912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301"/>
      <c r="L11" s="171"/>
      <c r="M11" s="153"/>
      <c r="N11" s="149">
        <f t="shared" ref="N11:N55" si="6">L11+K11+G11+M11</f>
        <v>0</v>
      </c>
      <c r="O11" s="67">
        <f t="shared" si="2"/>
        <v>1261392.3600000001</v>
      </c>
      <c r="P11" s="7">
        <f t="shared" si="4"/>
        <v>6306961.8000000007</v>
      </c>
      <c r="Q11" s="164">
        <f t="shared" si="5"/>
        <v>1712928.4500000002</v>
      </c>
      <c r="R11" s="29">
        <f t="shared" si="3"/>
        <v>1260.593096689093</v>
      </c>
      <c r="S11" s="5">
        <f>SUM($Q$7:$Q11)/T11</f>
        <v>1710662.65</v>
      </c>
      <c r="T11" s="17">
        <v>5</v>
      </c>
      <c r="U11" s="27"/>
      <c r="V11" s="134"/>
      <c r="W11" s="105">
        <v>-1187233</v>
      </c>
      <c r="X11" s="167"/>
      <c r="Y11" s="156">
        <f t="shared" ref="Y11:Y39" si="7">Y10-K11-L11</f>
        <v>-1187233</v>
      </c>
      <c r="Z11" s="217"/>
      <c r="AA11" s="92"/>
    </row>
    <row r="12" spans="2:255">
      <c r="B12" s="116">
        <v>43913</v>
      </c>
      <c r="C12" s="14" t="str">
        <f t="shared" si="0"/>
        <v/>
      </c>
      <c r="D12" s="87"/>
      <c r="E12" s="161">
        <v>1</v>
      </c>
      <c r="F12" s="23">
        <v>-201509</v>
      </c>
      <c r="G12" s="26">
        <f>D12+E12+F12-E9-F9</f>
        <v>-1087</v>
      </c>
      <c r="H12" s="132">
        <v>600</v>
      </c>
      <c r="I12" s="63">
        <v>-5600</v>
      </c>
      <c r="J12" s="63">
        <v>-1600</v>
      </c>
      <c r="K12" s="301">
        <f t="shared" ref="K12:K55" si="8">+H12+I12+J12</f>
        <v>-6600</v>
      </c>
      <c r="L12" s="171">
        <v>35</v>
      </c>
      <c r="M12" s="153"/>
      <c r="N12" s="149">
        <f t="shared" si="6"/>
        <v>-7652</v>
      </c>
      <c r="O12" s="67">
        <f t="shared" si="2"/>
        <v>1312756.0416666667</v>
      </c>
      <c r="P12" s="7">
        <f t="shared" si="4"/>
        <v>7876536.2500000009</v>
      </c>
      <c r="Q12" s="164">
        <f>Q11+N12+1</f>
        <v>1705277.4500000002</v>
      </c>
      <c r="R12" s="29">
        <f t="shared" si="3"/>
        <v>1259.9317013379707</v>
      </c>
      <c r="S12" s="5">
        <f>SUM($Q$7:$Q12)/T12</f>
        <v>1709765.1166666665</v>
      </c>
      <c r="T12" s="17">
        <v>6</v>
      </c>
      <c r="U12" s="138">
        <f>B12</f>
        <v>43913</v>
      </c>
      <c r="V12" s="131" t="s">
        <v>321</v>
      </c>
      <c r="W12" s="105">
        <v>-1180669</v>
      </c>
      <c r="X12" s="167">
        <f>AVERAGE(W12:W20)</f>
        <v>-1192155.111111111</v>
      </c>
      <c r="Y12" s="156">
        <f>Y11-K12-L12-1</f>
        <v>-1180669</v>
      </c>
      <c r="Z12" s="217">
        <f>AVERAGE(Y12:Y20)</f>
        <v>-1192155</v>
      </c>
      <c r="AA12" s="92"/>
    </row>
    <row r="13" spans="2:255">
      <c r="B13" s="116">
        <v>43914</v>
      </c>
      <c r="C13" s="14"/>
      <c r="D13" s="87"/>
      <c r="E13" s="87">
        <v>2</v>
      </c>
      <c r="F13" s="23">
        <v>-200750</v>
      </c>
      <c r="G13" s="26">
        <f>D13+E13+F13-E12-F12</f>
        <v>760</v>
      </c>
      <c r="H13" s="132">
        <v>500</v>
      </c>
      <c r="I13" s="63">
        <v>-1500</v>
      </c>
      <c r="J13" s="63">
        <v>-1600</v>
      </c>
      <c r="K13" s="301">
        <f t="shared" si="8"/>
        <v>-2600</v>
      </c>
      <c r="L13" s="171">
        <v>2</v>
      </c>
      <c r="M13" s="153"/>
      <c r="N13" s="149">
        <f t="shared" si="6"/>
        <v>-1838</v>
      </c>
      <c r="O13" s="67">
        <f t="shared" si="2"/>
        <v>1349181.5285714287</v>
      </c>
      <c r="P13" s="7">
        <f>(IF($Q13&lt;0,-$Q$3+P12,($Q13-$Q$3)+P12))</f>
        <v>9444270.7000000011</v>
      </c>
      <c r="Q13" s="164">
        <f>Q12+N13-2</f>
        <v>1703437.4500000002</v>
      </c>
      <c r="R13" s="29">
        <f t="shared" si="3"/>
        <v>1259.2655757689322</v>
      </c>
      <c r="S13" s="5">
        <f>SUM($Q$7:$Q13)/T13</f>
        <v>1708861.164285714</v>
      </c>
      <c r="T13" s="17">
        <v>7</v>
      </c>
      <c r="U13" s="138">
        <f>B14+6</f>
        <v>43921</v>
      </c>
      <c r="V13" s="249">
        <v>1532.5</v>
      </c>
      <c r="W13" s="105">
        <v>-1178070</v>
      </c>
      <c r="X13" s="167"/>
      <c r="Y13" s="156">
        <f>Y12-K13-L13+1</f>
        <v>-1178070</v>
      </c>
      <c r="Z13" s="217"/>
      <c r="AA13" s="92"/>
      <c r="AB13" s="92"/>
    </row>
    <row r="14" spans="2:255">
      <c r="B14" s="116">
        <v>43915</v>
      </c>
      <c r="C14" s="14"/>
      <c r="D14" s="87">
        <f>-92623-1470+114979+1055+79674</f>
        <v>101615</v>
      </c>
      <c r="E14" s="87">
        <v>0</v>
      </c>
      <c r="F14" s="23">
        <v>-202109</v>
      </c>
      <c r="G14" s="26">
        <f>D14+E14+F14-E13-F13</f>
        <v>100254</v>
      </c>
      <c r="H14" s="132">
        <v>500</v>
      </c>
      <c r="I14" s="63">
        <v>-8500</v>
      </c>
      <c r="J14" s="63">
        <v>-1600</v>
      </c>
      <c r="K14" s="301">
        <f t="shared" si="8"/>
        <v>-9600</v>
      </c>
      <c r="L14" s="171">
        <v>17</v>
      </c>
      <c r="M14" s="154"/>
      <c r="N14" s="149">
        <f>L14+K14+G14+M14</f>
        <v>90671</v>
      </c>
      <c r="O14" s="67">
        <f t="shared" si="2"/>
        <v>1387834.5187500003</v>
      </c>
      <c r="P14" s="7">
        <f t="shared" si="4"/>
        <v>11102676.150000002</v>
      </c>
      <c r="Q14" s="164">
        <f>Q13+N14</f>
        <v>1794108.4500000002</v>
      </c>
      <c r="R14" s="29">
        <f t="shared" si="3"/>
        <v>1267.11868934364</v>
      </c>
      <c r="S14" s="5">
        <f>SUM($Q$7:$Q14)/T14+1</f>
        <v>1719518.0749999997</v>
      </c>
      <c r="T14" s="17">
        <v>8</v>
      </c>
      <c r="U14" s="4"/>
      <c r="V14" s="4"/>
      <c r="W14" s="105">
        <v>-1168487</v>
      </c>
      <c r="X14" s="167"/>
      <c r="Y14" s="156">
        <f>Y13-K14-L14+1</f>
        <v>-1168486</v>
      </c>
      <c r="Z14" s="217"/>
      <c r="AA14" s="92"/>
    </row>
    <row r="15" spans="2:255">
      <c r="B15" s="116">
        <v>43916</v>
      </c>
      <c r="C15" s="14" t="str">
        <f t="shared" si="0"/>
        <v/>
      </c>
      <c r="D15" s="87">
        <f>-2282+624</f>
        <v>-1658</v>
      </c>
      <c r="E15" s="87">
        <v>10</v>
      </c>
      <c r="F15" s="23">
        <v>-208898</v>
      </c>
      <c r="G15" s="26">
        <f>D15+E15+F15-E14-F14</f>
        <v>-8437</v>
      </c>
      <c r="H15" s="132">
        <v>500</v>
      </c>
      <c r="I15" s="63">
        <v>12200</v>
      </c>
      <c r="J15" s="63">
        <v>-1700</v>
      </c>
      <c r="K15" s="301">
        <f t="shared" si="8"/>
        <v>11000</v>
      </c>
      <c r="L15" s="172">
        <v>3</v>
      </c>
      <c r="M15" s="153"/>
      <c r="N15" s="149">
        <f>L15+K15+G15+M15</f>
        <v>2566</v>
      </c>
      <c r="O15" s="67">
        <f t="shared" si="2"/>
        <v>1418183.2888888891</v>
      </c>
      <c r="P15" s="7">
        <f t="shared" si="4"/>
        <v>12763649.600000001</v>
      </c>
      <c r="Q15" s="164">
        <f>Q14+N15+2</f>
        <v>1796676.4500000002</v>
      </c>
      <c r="R15" s="29">
        <f t="shared" si="3"/>
        <v>1273.4356196170229</v>
      </c>
      <c r="S15" s="5">
        <f>SUM($Q$7:$Q15)/T15</f>
        <v>1728090.3388888885</v>
      </c>
      <c r="T15" s="17">
        <v>9</v>
      </c>
      <c r="U15" s="4"/>
      <c r="V15" s="4"/>
      <c r="W15" s="105">
        <v>-1179492</v>
      </c>
      <c r="X15" s="167"/>
      <c r="Y15" s="156">
        <f>Y14-K15-L15-1-2</f>
        <v>-1179492</v>
      </c>
      <c r="Z15" s="217"/>
      <c r="AA15" s="92"/>
      <c r="AB15" s="92"/>
    </row>
    <row r="16" spans="2:255" s="69" customFormat="1">
      <c r="B16" s="116">
        <v>43917</v>
      </c>
      <c r="C16" s="14" t="str">
        <f t="shared" si="0"/>
        <v/>
      </c>
      <c r="D16" s="129"/>
      <c r="E16" s="87">
        <v>3</v>
      </c>
      <c r="F16" s="23">
        <v>-212454</v>
      </c>
      <c r="G16" s="26">
        <f>D16+E16+F16-E15-F15</f>
        <v>-3563</v>
      </c>
      <c r="H16" s="132">
        <v>500</v>
      </c>
      <c r="I16" s="63">
        <v>17200</v>
      </c>
      <c r="J16" s="63">
        <v>-1800</v>
      </c>
      <c r="K16" s="301">
        <f t="shared" si="8"/>
        <v>15900</v>
      </c>
      <c r="L16" s="172">
        <v>9</v>
      </c>
      <c r="M16" s="153"/>
      <c r="N16" s="152">
        <f>L16+K16+G16+M16</f>
        <v>12346</v>
      </c>
      <c r="O16" s="67">
        <f t="shared" si="2"/>
        <v>1443697.0050000001</v>
      </c>
      <c r="P16" s="70">
        <f t="shared" si="4"/>
        <v>14436970.050000001</v>
      </c>
      <c r="Q16" s="164">
        <f>Q15+N16+1</f>
        <v>1809023.4500000002</v>
      </c>
      <c r="R16" s="71">
        <f t="shared" si="3"/>
        <v>1279.3996079673991</v>
      </c>
      <c r="S16" s="72">
        <f>SUM($Q$7:$Q16)/T16</f>
        <v>1736183.6499999997</v>
      </c>
      <c r="T16" s="73">
        <v>10</v>
      </c>
      <c r="U16" s="218"/>
      <c r="V16" s="133"/>
      <c r="W16" s="105">
        <v>-1195402</v>
      </c>
      <c r="X16" s="167"/>
      <c r="Y16" s="156">
        <f>Y15-K16-L16-1</f>
        <v>-1195402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43918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301"/>
      <c r="L17" s="171"/>
      <c r="M17" s="153"/>
      <c r="N17" s="149">
        <f t="shared" si="6"/>
        <v>0</v>
      </c>
      <c r="O17" s="67">
        <f t="shared" si="2"/>
        <v>1464571.8636363635</v>
      </c>
      <c r="P17" s="7">
        <f t="shared" si="4"/>
        <v>16110290.5</v>
      </c>
      <c r="Q17" s="164">
        <f t="shared" si="5"/>
        <v>1809023.4500000002</v>
      </c>
      <c r="R17" s="29">
        <f t="shared" si="3"/>
        <v>1284.2792347995251</v>
      </c>
      <c r="S17" s="5">
        <f>SUM($Q$7:$Q17)/T17</f>
        <v>1742805.4499999995</v>
      </c>
      <c r="T17" s="18">
        <v>11</v>
      </c>
      <c r="U17" s="27"/>
      <c r="V17" s="136"/>
      <c r="W17" s="105">
        <v>-1195402</v>
      </c>
      <c r="X17" s="167"/>
      <c r="Y17" s="156">
        <f t="shared" si="7"/>
        <v>-1195402</v>
      </c>
      <c r="Z17" s="217"/>
      <c r="AA17" s="92"/>
      <c r="AC17" s="92"/>
    </row>
    <row r="18" spans="2:31">
      <c r="B18" s="116">
        <v>43919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301"/>
      <c r="L18" s="171"/>
      <c r="M18" s="153"/>
      <c r="N18" s="149">
        <f t="shared" si="6"/>
        <v>0</v>
      </c>
      <c r="O18" s="67">
        <f t="shared" si="2"/>
        <v>1481967.5791666666</v>
      </c>
      <c r="P18" s="7">
        <f t="shared" si="4"/>
        <v>17783610.949999999</v>
      </c>
      <c r="Q18" s="164">
        <f t="shared" si="5"/>
        <v>1809023.4500000002</v>
      </c>
      <c r="R18" s="29">
        <f t="shared" si="3"/>
        <v>1288.3448535895789</v>
      </c>
      <c r="S18" s="5">
        <f>SUM($Q$7:$Q18)/T18-1</f>
        <v>1748322.6166666662</v>
      </c>
      <c r="T18" s="18">
        <v>12</v>
      </c>
      <c r="U18" s="27"/>
      <c r="V18" s="136"/>
      <c r="W18" s="105">
        <v>-1195402</v>
      </c>
      <c r="X18" s="167"/>
      <c r="Y18" s="156">
        <f t="shared" si="7"/>
        <v>-1195402</v>
      </c>
      <c r="Z18" s="217"/>
      <c r="AA18" s="92"/>
    </row>
    <row r="19" spans="2:31">
      <c r="B19" s="116">
        <v>43920</v>
      </c>
      <c r="C19" s="14" t="str">
        <f t="shared" si="0"/>
        <v/>
      </c>
      <c r="D19" s="87"/>
      <c r="E19" s="87">
        <v>19</v>
      </c>
      <c r="F19" s="23">
        <v>-220388</v>
      </c>
      <c r="G19" s="26">
        <f>D19+E19+F19-E16-F16</f>
        <v>-7918</v>
      </c>
      <c r="H19" s="132">
        <v>12300</v>
      </c>
      <c r="I19" s="25">
        <v>9200</v>
      </c>
      <c r="J19" s="63">
        <v>-500</v>
      </c>
      <c r="K19" s="301">
        <f t="shared" si="8"/>
        <v>21000</v>
      </c>
      <c r="L19" s="171">
        <v>31</v>
      </c>
      <c r="M19" s="153"/>
      <c r="N19" s="149">
        <f t="shared" si="6"/>
        <v>13113</v>
      </c>
      <c r="O19" s="67">
        <f t="shared" si="2"/>
        <v>1497695.7230769231</v>
      </c>
      <c r="P19" s="7">
        <f t="shared" si="4"/>
        <v>19470044.399999999</v>
      </c>
      <c r="Q19" s="164">
        <f>Q18+N19</f>
        <v>1822136.4500000002</v>
      </c>
      <c r="R19" s="29">
        <f t="shared" si="3"/>
        <v>1292.5296617783515</v>
      </c>
      <c r="S19" s="5">
        <f>SUM($Q$7:$Q19)/T19</f>
        <v>1754001.5269230765</v>
      </c>
      <c r="T19" s="18">
        <v>13</v>
      </c>
      <c r="U19" s="138">
        <f>B19</f>
        <v>43920</v>
      </c>
      <c r="V19" s="131" t="s">
        <v>322</v>
      </c>
      <c r="W19" s="105">
        <v>-1216433</v>
      </c>
      <c r="X19" s="167">
        <f>AVERAGE(W19:W27)</f>
        <v>-1239006.6666666667</v>
      </c>
      <c r="Y19" s="156">
        <f t="shared" si="7"/>
        <v>-1216433</v>
      </c>
      <c r="Z19" s="217">
        <f>AVERAGE(Y19:Y27)</f>
        <v>-1239006.5555555555</v>
      </c>
      <c r="AA19" s="92"/>
    </row>
    <row r="20" spans="2:31">
      <c r="B20" s="116">
        <v>43921</v>
      </c>
      <c r="C20" s="14"/>
      <c r="D20" s="87"/>
      <c r="E20" s="87">
        <v>0</v>
      </c>
      <c r="F20" s="23">
        <v>-238744</v>
      </c>
      <c r="G20" s="26">
        <f>D20+E20+F20-E19-F19</f>
        <v>-18375</v>
      </c>
      <c r="H20" s="132">
        <v>600</v>
      </c>
      <c r="I20" s="25">
        <v>3500</v>
      </c>
      <c r="J20" s="63">
        <v>-500</v>
      </c>
      <c r="K20" s="301">
        <f t="shared" si="8"/>
        <v>3600</v>
      </c>
      <c r="L20" s="171">
        <v>6</v>
      </c>
      <c r="M20" s="153"/>
      <c r="N20" s="149">
        <f t="shared" si="6"/>
        <v>-14769</v>
      </c>
      <c r="O20" s="67">
        <f t="shared" si="2"/>
        <v>1510122.0607142856</v>
      </c>
      <c r="P20" s="7">
        <f t="shared" si="4"/>
        <v>21141708.849999998</v>
      </c>
      <c r="Q20" s="164">
        <f>Q19+N20</f>
        <v>1807367.4500000002</v>
      </c>
      <c r="R20" s="29">
        <f t="shared" si="3"/>
        <v>1295.3386281596047</v>
      </c>
      <c r="S20" s="5">
        <f>SUM($Q$7:$Q20)/T20</f>
        <v>1757813.3785714281</v>
      </c>
      <c r="T20" s="18">
        <v>14</v>
      </c>
      <c r="U20" s="138">
        <f>B19+8</f>
        <v>43928</v>
      </c>
      <c r="V20" s="131">
        <v>1496.3</v>
      </c>
      <c r="W20" s="105">
        <v>-1220039</v>
      </c>
      <c r="X20" s="167"/>
      <c r="Y20" s="156">
        <f>Y19-K20-L20</f>
        <v>-1220039</v>
      </c>
      <c r="Z20" s="217"/>
      <c r="AA20" s="92"/>
      <c r="AB20" s="92"/>
    </row>
    <row r="21" spans="2:31">
      <c r="B21" s="116">
        <v>43922</v>
      </c>
      <c r="C21" s="14" t="str">
        <f t="shared" si="0"/>
        <v/>
      </c>
      <c r="D21" s="87">
        <f>-1055+444+43713</f>
        <v>43102</v>
      </c>
      <c r="E21" s="87">
        <v>0</v>
      </c>
      <c r="F21" s="23">
        <v>-222182</v>
      </c>
      <c r="G21" s="26">
        <f>D21+E21+F21-E20-F20</f>
        <v>59664</v>
      </c>
      <c r="H21" s="132">
        <v>1000</v>
      </c>
      <c r="I21" s="25">
        <v>28800</v>
      </c>
      <c r="J21" s="63">
        <v>-500</v>
      </c>
      <c r="K21" s="301">
        <f t="shared" si="8"/>
        <v>29300</v>
      </c>
      <c r="L21" s="171">
        <v>30</v>
      </c>
      <c r="M21" s="153"/>
      <c r="N21" s="149">
        <f>L21+K21+G21+M21</f>
        <v>88994</v>
      </c>
      <c r="O21" s="67">
        <f t="shared" si="2"/>
        <v>1526824.5533333332</v>
      </c>
      <c r="P21" s="7">
        <f t="shared" si="4"/>
        <v>22902368.299999997</v>
      </c>
      <c r="Q21" s="164">
        <f>Q20+N21+1</f>
        <v>1896362.4500000002</v>
      </c>
      <c r="R21" s="29">
        <f t="shared" si="3"/>
        <v>1302.1443765674546</v>
      </c>
      <c r="S21" s="5">
        <f>SUM($Q$7:$Q21)/T21-1</f>
        <v>1767048.9833333329</v>
      </c>
      <c r="T21" s="18">
        <v>15</v>
      </c>
      <c r="U21" s="4"/>
      <c r="V21" s="131"/>
      <c r="W21" s="105">
        <v>-1249369</v>
      </c>
      <c r="X21" s="167"/>
      <c r="Y21" s="156">
        <f>Y20-K21-L21</f>
        <v>-1249369</v>
      </c>
      <c r="Z21" s="217"/>
      <c r="AA21" s="92"/>
    </row>
    <row r="22" spans="2:31">
      <c r="B22" s="116">
        <v>43923</v>
      </c>
      <c r="C22" s="14" t="str">
        <f t="shared" si="0"/>
        <v/>
      </c>
      <c r="D22" s="87"/>
      <c r="E22" s="87">
        <v>0</v>
      </c>
      <c r="F22" s="23">
        <v>-227001</v>
      </c>
      <c r="G22" s="26">
        <f>D22+E22+F22-E21-F21</f>
        <v>-4819</v>
      </c>
      <c r="H22" s="132">
        <v>500</v>
      </c>
      <c r="I22" s="25">
        <v>-8100</v>
      </c>
      <c r="J22" s="63">
        <v>-500</v>
      </c>
      <c r="K22" s="301">
        <f t="shared" si="8"/>
        <v>-8100</v>
      </c>
      <c r="L22" s="171">
        <v>36</v>
      </c>
      <c r="M22" s="153"/>
      <c r="N22" s="149">
        <f>L22+K22+G22+M22</f>
        <v>-12883</v>
      </c>
      <c r="O22" s="67">
        <f t="shared" si="2"/>
        <v>1540633.9843749998</v>
      </c>
      <c r="P22" s="7">
        <f t="shared" si="4"/>
        <v>24650143.749999996</v>
      </c>
      <c r="Q22" s="164">
        <f>Q21+N22-1</f>
        <v>1883478.4500000002</v>
      </c>
      <c r="R22" s="29">
        <f t="shared" si="3"/>
        <v>1307.5066597643379</v>
      </c>
      <c r="S22" s="5">
        <f>SUM($Q$7:$Q22)/T22-1</f>
        <v>1774325.7624999995</v>
      </c>
      <c r="T22" s="18">
        <v>16</v>
      </c>
      <c r="U22" s="4"/>
      <c r="V22" s="131"/>
      <c r="W22" s="105">
        <v>-1241305</v>
      </c>
      <c r="X22" s="167"/>
      <c r="Y22" s="156">
        <f>Y21-K22-L22</f>
        <v>-1241305</v>
      </c>
      <c r="Z22" s="217"/>
      <c r="AA22" s="92"/>
    </row>
    <row r="23" spans="2:31">
      <c r="B23" s="116">
        <v>43924</v>
      </c>
      <c r="C23" s="14" t="str">
        <f t="shared" si="0"/>
        <v/>
      </c>
      <c r="D23" s="87"/>
      <c r="E23" s="87">
        <v>0</v>
      </c>
      <c r="F23" s="23">
        <v>-250850</v>
      </c>
      <c r="G23" s="26">
        <f t="shared" ref="G23" si="9">D23+E23+F23-E22-F22</f>
        <v>-23849</v>
      </c>
      <c r="H23" s="132">
        <v>500</v>
      </c>
      <c r="I23" s="25">
        <v>5900</v>
      </c>
      <c r="J23" s="63">
        <v>-500</v>
      </c>
      <c r="K23" s="301">
        <f t="shared" si="8"/>
        <v>5900</v>
      </c>
      <c r="L23" s="171">
        <v>28</v>
      </c>
      <c r="M23" s="153"/>
      <c r="N23" s="149">
        <f>L23+K23+G23+M23</f>
        <v>-17921</v>
      </c>
      <c r="O23" s="67">
        <f t="shared" si="2"/>
        <v>1551764.5999999996</v>
      </c>
      <c r="P23" s="7">
        <f t="shared" si="4"/>
        <v>26379998.199999996</v>
      </c>
      <c r="Q23" s="164">
        <f>Q22+N23</f>
        <v>1865557.4500000002</v>
      </c>
      <c r="R23" s="29">
        <f t="shared" si="3"/>
        <v>1311.4619968087745</v>
      </c>
      <c r="S23" s="5">
        <f>SUM($Q$7:$Q23)/T23</f>
        <v>1779693.2735294113</v>
      </c>
      <c r="T23" s="18">
        <v>17</v>
      </c>
      <c r="U23" s="27"/>
      <c r="V23" s="135"/>
      <c r="W23" s="105">
        <v>-1247232</v>
      </c>
      <c r="X23" s="167"/>
      <c r="Y23" s="156">
        <f>Y22-K23-L23+1</f>
        <v>-1247232</v>
      </c>
      <c r="Z23" s="217"/>
      <c r="AA23" s="92"/>
    </row>
    <row r="24" spans="2:31">
      <c r="B24" s="116">
        <v>43925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301"/>
      <c r="L24" s="171"/>
      <c r="M24" s="153"/>
      <c r="N24" s="149">
        <f t="shared" si="6"/>
        <v>0</v>
      </c>
      <c r="O24" s="67">
        <f t="shared" si="2"/>
        <v>1561658.4805555553</v>
      </c>
      <c r="P24" s="7">
        <f t="shared" si="4"/>
        <v>28109852.649999995</v>
      </c>
      <c r="Q24" s="164">
        <f t="shared" si="5"/>
        <v>1865557.4500000002</v>
      </c>
      <c r="R24" s="29">
        <f t="shared" si="3"/>
        <v>1314.9771969341539</v>
      </c>
      <c r="S24" s="5">
        <f>SUM($Q$7:$Q24)/T24</f>
        <v>1784463.505555555</v>
      </c>
      <c r="T24" s="18">
        <v>18</v>
      </c>
      <c r="U24" s="4"/>
      <c r="V24" s="135"/>
      <c r="W24" s="105">
        <v>-1247232</v>
      </c>
      <c r="X24" s="167"/>
      <c r="Y24" s="156">
        <f t="shared" si="7"/>
        <v>-1247232</v>
      </c>
      <c r="Z24" s="217"/>
      <c r="AA24" s="92"/>
      <c r="AD24" s="1"/>
      <c r="AE24" s="1"/>
    </row>
    <row r="25" spans="2:31">
      <c r="B25" s="116">
        <v>43926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301"/>
      <c r="L25" s="171"/>
      <c r="M25" s="153"/>
      <c r="N25" s="149">
        <f t="shared" si="6"/>
        <v>0</v>
      </c>
      <c r="O25" s="67">
        <f t="shared" si="2"/>
        <v>1570510.8999999997</v>
      </c>
      <c r="P25" s="7">
        <f t="shared" si="4"/>
        <v>29839707.099999994</v>
      </c>
      <c r="Q25" s="164">
        <f t="shared" si="5"/>
        <v>1865557.4500000002</v>
      </c>
      <c r="R25" s="29">
        <f t="shared" si="3"/>
        <v>1318.1209021869349</v>
      </c>
      <c r="S25" s="5">
        <f>SUM($Q$7:$Q25)/T25-2</f>
        <v>1788729.6078947363</v>
      </c>
      <c r="T25" s="18">
        <v>19</v>
      </c>
      <c r="U25" s="4"/>
      <c r="V25" s="131"/>
      <c r="W25" s="105">
        <v>-1247232</v>
      </c>
      <c r="X25" s="167"/>
      <c r="Y25" s="156">
        <f t="shared" si="7"/>
        <v>-1247232</v>
      </c>
      <c r="Z25" s="217"/>
      <c r="AA25" s="92"/>
      <c r="AD25" s="1"/>
      <c r="AE25" s="1"/>
    </row>
    <row r="26" spans="2:31">
      <c r="B26" s="116">
        <v>43927</v>
      </c>
      <c r="C26" s="14" t="str">
        <f t="shared" si="0"/>
        <v/>
      </c>
      <c r="D26" s="87"/>
      <c r="E26" s="87">
        <v>0</v>
      </c>
      <c r="F26" s="23">
        <v>-266257</v>
      </c>
      <c r="G26" s="26">
        <f>D26+E26+F26-E23-F23</f>
        <v>-15407</v>
      </c>
      <c r="H26" s="132">
        <v>500</v>
      </c>
      <c r="I26" s="25">
        <v>-3800</v>
      </c>
      <c r="J26" s="63">
        <v>-2000</v>
      </c>
      <c r="K26" s="301">
        <f t="shared" si="8"/>
        <v>-5300</v>
      </c>
      <c r="L26" s="171">
        <v>44</v>
      </c>
      <c r="M26" s="153"/>
      <c r="N26" s="149">
        <f t="shared" si="6"/>
        <v>-20663</v>
      </c>
      <c r="O26" s="67">
        <f t="shared" si="2"/>
        <v>1577444.8774999997</v>
      </c>
      <c r="P26" s="7">
        <f t="shared" si="4"/>
        <v>31548897.549999993</v>
      </c>
      <c r="Q26" s="164">
        <f>Q25+N26-1</f>
        <v>1844893.4500000002</v>
      </c>
      <c r="R26" s="29">
        <f t="shared" si="3"/>
        <v>1320.1968268940257</v>
      </c>
      <c r="S26" s="5">
        <f>SUM($Q$7:$Q26)/T26+7</f>
        <v>1791546.6999999997</v>
      </c>
      <c r="T26" s="18">
        <v>20</v>
      </c>
      <c r="U26" s="138">
        <f>B26</f>
        <v>43927</v>
      </c>
      <c r="V26" s="131" t="s">
        <v>323</v>
      </c>
      <c r="W26" s="105">
        <v>-1241976</v>
      </c>
      <c r="X26" s="167">
        <f>AVERAGE(W26:W34)</f>
        <v>-1242570.6666666667</v>
      </c>
      <c r="Y26" s="156">
        <f>Y25-K26-L26</f>
        <v>-1241976</v>
      </c>
      <c r="Z26" s="217">
        <f>AVERAGE(Y26:Y34)</f>
        <v>-1242570.5555555555</v>
      </c>
      <c r="AC26" s="92"/>
      <c r="AD26" s="1"/>
      <c r="AE26" s="1"/>
    </row>
    <row r="27" spans="2:31">
      <c r="B27" s="116">
        <v>43928</v>
      </c>
      <c r="C27" s="14" t="str">
        <f t="shared" si="0"/>
        <v/>
      </c>
      <c r="D27" s="87"/>
      <c r="E27" s="87">
        <v>7</v>
      </c>
      <c r="F27" s="23">
        <v>-261782</v>
      </c>
      <c r="G27" s="26">
        <f>D27+E27+F27-E26-F26</f>
        <v>4482</v>
      </c>
      <c r="H27" s="132">
        <v>500</v>
      </c>
      <c r="I27" s="25">
        <v>-200</v>
      </c>
      <c r="J27" s="63">
        <v>-2000</v>
      </c>
      <c r="K27" s="301">
        <f t="shared" si="8"/>
        <v>-1700</v>
      </c>
      <c r="L27" s="171">
        <v>-35</v>
      </c>
      <c r="M27" s="153"/>
      <c r="N27" s="149">
        <f>L27+K27+G27+M27</f>
        <v>2747</v>
      </c>
      <c r="O27" s="67">
        <f t="shared" si="2"/>
        <v>1583849.333333333</v>
      </c>
      <c r="P27" s="7">
        <f t="shared" si="4"/>
        <v>33260835.999999993</v>
      </c>
      <c r="Q27" s="164">
        <f>Q26+N27+2-1</f>
        <v>1847641.4500000002</v>
      </c>
      <c r="R27" s="29">
        <f t="shared" si="3"/>
        <v>1322.153682604483</v>
      </c>
      <c r="S27" s="5">
        <f>SUM($Q$7:$Q27)/T27-9</f>
        <v>1794202.2119047616</v>
      </c>
      <c r="T27" s="18">
        <v>21</v>
      </c>
      <c r="U27" s="138">
        <f>B28+6</f>
        <v>43935</v>
      </c>
      <c r="V27" s="159">
        <v>1520.9</v>
      </c>
      <c r="W27" s="105">
        <v>-1240242</v>
      </c>
      <c r="X27" s="167"/>
      <c r="Y27" s="156">
        <f>Y26-K27-L27</f>
        <v>-1240241</v>
      </c>
      <c r="Z27" s="217"/>
      <c r="AA27" s="92"/>
      <c r="AD27" s="1"/>
      <c r="AE27" s="1"/>
    </row>
    <row r="28" spans="2:31">
      <c r="B28" s="116">
        <v>43929</v>
      </c>
      <c r="C28" s="14" t="str">
        <f t="shared" si="0"/>
        <v/>
      </c>
      <c r="D28" s="87">
        <f>-444+316+19507</f>
        <v>19379</v>
      </c>
      <c r="E28" s="87">
        <v>12</v>
      </c>
      <c r="F28" s="23">
        <v>-266406</v>
      </c>
      <c r="G28" s="26">
        <f>D28+E28+F28-E27-F27</f>
        <v>14760</v>
      </c>
      <c r="H28" s="132">
        <v>500</v>
      </c>
      <c r="I28" s="25">
        <v>10600</v>
      </c>
      <c r="J28" s="63">
        <v>-2000</v>
      </c>
      <c r="K28" s="301">
        <f t="shared" si="8"/>
        <v>9100</v>
      </c>
      <c r="L28" s="171">
        <v>-35</v>
      </c>
      <c r="M28" s="153"/>
      <c r="N28" s="149">
        <f>L28+K28+G28+M28</f>
        <v>23825</v>
      </c>
      <c r="O28" s="67">
        <f t="shared" si="2"/>
        <v>1590754.4749999999</v>
      </c>
      <c r="P28" s="7">
        <f t="shared" si="4"/>
        <v>34996598.449999996</v>
      </c>
      <c r="Q28" s="164">
        <f>Q27+N28-1</f>
        <v>1871465.4500000002</v>
      </c>
      <c r="R28" s="29">
        <f t="shared" si="3"/>
        <v>1324.7413603102495</v>
      </c>
      <c r="S28" s="5">
        <f>SUM($Q$7:$Q28)/T28-9</f>
        <v>1797713.7681818181</v>
      </c>
      <c r="T28" s="18">
        <v>22</v>
      </c>
      <c r="U28" s="4"/>
      <c r="V28" s="131"/>
      <c r="W28" s="105">
        <v>-1249306</v>
      </c>
      <c r="X28" s="167"/>
      <c r="Y28" s="156">
        <f>Y27-K28-L28</f>
        <v>-1249306</v>
      </c>
      <c r="Z28" s="217"/>
      <c r="AA28" s="92"/>
      <c r="AD28" s="1"/>
      <c r="AE28" s="1"/>
    </row>
    <row r="29" spans="2:31">
      <c r="B29" s="116">
        <v>43930</v>
      </c>
      <c r="C29" s="14" t="str">
        <f t="shared" si="0"/>
        <v/>
      </c>
      <c r="D29" s="87"/>
      <c r="E29" s="87">
        <v>15</v>
      </c>
      <c r="F29" s="23">
        <v>-262359</v>
      </c>
      <c r="G29" s="26">
        <f>D29+E29+F29-E28-F28</f>
        <v>4050</v>
      </c>
      <c r="H29" s="132">
        <v>500</v>
      </c>
      <c r="I29" s="25">
        <f>1000-7800</f>
        <v>-6800</v>
      </c>
      <c r="J29" s="63">
        <v>-2000</v>
      </c>
      <c r="K29" s="301">
        <f t="shared" si="8"/>
        <v>-8300</v>
      </c>
      <c r="L29" s="171">
        <v>8</v>
      </c>
      <c r="M29" s="153"/>
      <c r="N29" s="149">
        <f>L29+K29+G29+M29</f>
        <v>-4242</v>
      </c>
      <c r="O29" s="67">
        <f t="shared" si="2"/>
        <v>1596874.8652173912</v>
      </c>
      <c r="P29" s="7">
        <f t="shared" si="4"/>
        <v>36728121.899999999</v>
      </c>
      <c r="Q29" s="164">
        <f>Q28+N29+3</f>
        <v>1867226.4500000002</v>
      </c>
      <c r="R29" s="29">
        <f t="shared" si="3"/>
        <v>1326.9777878096318</v>
      </c>
      <c r="S29" s="5">
        <f>SUM($Q$7:$Q29)/T29+4</f>
        <v>1800748.6673913044</v>
      </c>
      <c r="T29" s="18">
        <v>23</v>
      </c>
      <c r="U29" s="138">
        <v>43930</v>
      </c>
      <c r="V29" s="131" t="s">
        <v>324</v>
      </c>
      <c r="W29" s="105">
        <v>-1241017</v>
      </c>
      <c r="X29" s="167">
        <f>AVERAGE(W29:W41)</f>
        <v>-1237283.3076923077</v>
      </c>
      <c r="Y29" s="156">
        <f>Y28-K29-L29-3</f>
        <v>-1241017</v>
      </c>
      <c r="Z29" s="217">
        <f>AVERAGE(Y29:Y41)</f>
        <v>-1237283.3076923077</v>
      </c>
      <c r="AA29" s="92"/>
      <c r="AD29" s="1"/>
      <c r="AE29" s="1"/>
    </row>
    <row r="30" spans="2:31">
      <c r="B30" s="116">
        <v>43931</v>
      </c>
      <c r="C30" s="14" t="s">
        <v>242</v>
      </c>
      <c r="D30" s="87"/>
      <c r="E30" s="87"/>
      <c r="F30" s="23"/>
      <c r="G30" s="26"/>
      <c r="H30" s="132"/>
      <c r="I30" s="25"/>
      <c r="J30" s="25"/>
      <c r="K30" s="301"/>
      <c r="L30" s="171"/>
      <c r="M30" s="153"/>
      <c r="N30" s="149">
        <f t="shared" si="6"/>
        <v>0</v>
      </c>
      <c r="O30" s="67">
        <f t="shared" si="2"/>
        <v>1602485.2229166667</v>
      </c>
      <c r="P30" s="7">
        <f t="shared" si="4"/>
        <v>38459645.350000001</v>
      </c>
      <c r="Q30" s="164">
        <f>Q29+N30</f>
        <v>1867226.4500000002</v>
      </c>
      <c r="R30" s="29">
        <f t="shared" si="3"/>
        <v>1329.0205387255012</v>
      </c>
      <c r="S30" s="5">
        <f>SUM($Q$7:$Q30)/T30+6</f>
        <v>1803520.7416666669</v>
      </c>
      <c r="T30" s="18">
        <v>24</v>
      </c>
      <c r="U30" s="138">
        <v>43942</v>
      </c>
      <c r="V30" s="131">
        <v>1546.4</v>
      </c>
      <c r="W30" s="105">
        <v>-1241017</v>
      </c>
      <c r="X30" s="167"/>
      <c r="Y30" s="156">
        <f>Y29-K30-L30</f>
        <v>-1241017</v>
      </c>
      <c r="Z30" s="217"/>
      <c r="AA30" s="92"/>
      <c r="AD30" s="1"/>
      <c r="AE30" s="1"/>
    </row>
    <row r="31" spans="2:31">
      <c r="B31" s="116">
        <v>43932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301"/>
      <c r="L31" s="171"/>
      <c r="M31" s="153"/>
      <c r="N31" s="149">
        <f>L31+K31+G31+M31</f>
        <v>0</v>
      </c>
      <c r="O31" s="67">
        <f>P31/T31</f>
        <v>1607646.7520000001</v>
      </c>
      <c r="P31" s="7">
        <f t="shared" si="4"/>
        <v>40191168.800000004</v>
      </c>
      <c r="Q31" s="164">
        <f t="shared" si="5"/>
        <v>1867226.4500000002</v>
      </c>
      <c r="R31" s="29">
        <f t="shared" si="3"/>
        <v>1330.895566052335</v>
      </c>
      <c r="S31" s="5">
        <f>SUM($Q$7:$Q31)/T31+2</f>
        <v>1806065.2100000002</v>
      </c>
      <c r="T31" s="18">
        <v>25</v>
      </c>
      <c r="U31" s="4"/>
      <c r="V31" s="137"/>
      <c r="W31" s="105">
        <v>-1241017</v>
      </c>
      <c r="X31" s="167"/>
      <c r="Y31" s="156">
        <f t="shared" si="7"/>
        <v>-1241017</v>
      </c>
      <c r="Z31" s="217"/>
      <c r="AA31" s="92"/>
      <c r="AB31" s="92"/>
      <c r="AD31" s="1"/>
      <c r="AE31" s="1"/>
    </row>
    <row r="32" spans="2:31">
      <c r="B32" s="116">
        <v>43933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301"/>
      <c r="L32" s="171"/>
      <c r="M32" s="153"/>
      <c r="N32" s="149">
        <f t="shared" si="6"/>
        <v>0</v>
      </c>
      <c r="O32" s="67">
        <f t="shared" si="2"/>
        <v>1612411.2403846157</v>
      </c>
      <c r="P32" s="7">
        <f t="shared" si="4"/>
        <v>41922692.250000007</v>
      </c>
      <c r="Q32" s="164">
        <f t="shared" si="5"/>
        <v>1867226.4500000002</v>
      </c>
      <c r="R32" s="29">
        <f t="shared" si="3"/>
        <v>1332.6231861548329</v>
      </c>
      <c r="S32" s="5">
        <f>SUM($Q$7:$Q32)/T32-6</f>
        <v>1808409.6423076927</v>
      </c>
      <c r="T32" s="18">
        <v>26</v>
      </c>
      <c r="U32" s="27"/>
      <c r="V32" s="137"/>
      <c r="W32" s="105">
        <v>-1241017</v>
      </c>
      <c r="X32" s="167"/>
      <c r="Y32" s="156">
        <f t="shared" si="7"/>
        <v>-1241017</v>
      </c>
      <c r="Z32" s="217"/>
      <c r="AD32" s="1"/>
      <c r="AE32" s="1"/>
    </row>
    <row r="33" spans="2:31">
      <c r="B33" s="116">
        <v>43934</v>
      </c>
      <c r="C33" s="14" t="s">
        <v>242</v>
      </c>
      <c r="D33" s="87"/>
      <c r="E33" s="87"/>
      <c r="F33" s="23"/>
      <c r="G33" s="26"/>
      <c r="H33" s="132"/>
      <c r="I33" s="25"/>
      <c r="J33" s="25"/>
      <c r="K33" s="301"/>
      <c r="L33" s="171"/>
      <c r="M33" s="153"/>
      <c r="N33" s="149">
        <f t="shared" si="6"/>
        <v>0</v>
      </c>
      <c r="O33" s="67">
        <f t="shared" si="2"/>
        <v>1616822.7666666671</v>
      </c>
      <c r="P33" s="7">
        <f t="shared" si="4"/>
        <v>43654214.70000001</v>
      </c>
      <c r="Q33" s="164">
        <f>Q32+N33-1</f>
        <v>1867225.4500000002</v>
      </c>
      <c r="R33" s="29">
        <f t="shared" si="3"/>
        <v>1334.2319501656809</v>
      </c>
      <c r="S33" s="5">
        <f>SUM($Q$7:$Q33)/T33-1</f>
        <v>1810592.7833333339</v>
      </c>
      <c r="T33" s="18">
        <v>27</v>
      </c>
      <c r="U33" s="138"/>
      <c r="V33" s="131"/>
      <c r="W33" s="105">
        <v>-1241017</v>
      </c>
      <c r="X33" s="167"/>
      <c r="Y33" s="156">
        <f>Y32-K33-L33</f>
        <v>-1241017</v>
      </c>
      <c r="Z33" s="217"/>
      <c r="AD33" s="1"/>
      <c r="AE33" s="1"/>
    </row>
    <row r="34" spans="2:31">
      <c r="B34" s="116">
        <v>43935</v>
      </c>
      <c r="C34" s="14" t="str">
        <f t="shared" si="0"/>
        <v/>
      </c>
      <c r="D34" s="87"/>
      <c r="E34" s="87">
        <v>6</v>
      </c>
      <c r="F34" s="23">
        <v>-275189</v>
      </c>
      <c r="G34" s="26">
        <f>D34+E34+F34-E29-F29</f>
        <v>-12839</v>
      </c>
      <c r="H34" s="132">
        <v>-2900</v>
      </c>
      <c r="I34" s="25">
        <v>8300</v>
      </c>
      <c r="J34" s="25">
        <v>100</v>
      </c>
      <c r="K34" s="301">
        <f t="shared" si="8"/>
        <v>5500</v>
      </c>
      <c r="L34" s="171">
        <v>18</v>
      </c>
      <c r="M34" s="153"/>
      <c r="N34" s="149">
        <f>L34+K34+G34+M34</f>
        <v>-7321</v>
      </c>
      <c r="O34" s="67">
        <f t="shared" si="2"/>
        <v>1620657.4696428576</v>
      </c>
      <c r="P34" s="7">
        <f t="shared" si="4"/>
        <v>45378409.150000013</v>
      </c>
      <c r="Q34" s="164">
        <f>Q33+N34-7</f>
        <v>1859897.4500000002</v>
      </c>
      <c r="R34" s="29">
        <f t="shared" si="3"/>
        <v>1335.5302598847697</v>
      </c>
      <c r="S34" s="5">
        <f>SUM($Q$7:$Q34)/T34</f>
        <v>1812354.6285714291</v>
      </c>
      <c r="T34" s="18">
        <v>28</v>
      </c>
      <c r="U34" s="138"/>
      <c r="V34" s="131"/>
      <c r="W34" s="105">
        <v>-1246527</v>
      </c>
      <c r="X34" s="167"/>
      <c r="Y34" s="156">
        <f>Y33-K34-L34+1+7</f>
        <v>-1246527</v>
      </c>
      <c r="Z34" s="217"/>
      <c r="AA34" s="92"/>
      <c r="AD34" s="1"/>
      <c r="AE34" s="1"/>
    </row>
    <row r="35" spans="2:31">
      <c r="B35" s="116">
        <v>43936</v>
      </c>
      <c r="C35" s="14" t="str">
        <f t="shared" si="0"/>
        <v/>
      </c>
      <c r="D35" s="87">
        <f>-316+224+4638</f>
        <v>4546</v>
      </c>
      <c r="E35" s="87">
        <v>8</v>
      </c>
      <c r="F35" s="23">
        <v>-271185</v>
      </c>
      <c r="G35" s="26">
        <f>D35+E35+F35-E34-F34</f>
        <v>8552</v>
      </c>
      <c r="H35" s="132">
        <v>-9000</v>
      </c>
      <c r="I35" s="25">
        <v>9000</v>
      </c>
      <c r="J35" s="25">
        <v>100</v>
      </c>
      <c r="K35" s="301">
        <f t="shared" si="8"/>
        <v>100</v>
      </c>
      <c r="L35" s="171">
        <v>16</v>
      </c>
      <c r="M35" s="153"/>
      <c r="N35" s="149">
        <f t="shared" si="6"/>
        <v>8668</v>
      </c>
      <c r="O35" s="67">
        <f t="shared" si="2"/>
        <v>1624526.641379311</v>
      </c>
      <c r="P35" s="7">
        <f t="shared" si="4"/>
        <v>47111272.600000016</v>
      </c>
      <c r="Q35" s="164">
        <f>Q34+N35+1</f>
        <v>1868566.4500000002</v>
      </c>
      <c r="R35" s="29">
        <f t="shared" si="3"/>
        <v>1336.9586282111522</v>
      </c>
      <c r="S35" s="5">
        <f>SUM($Q$7:$Q35)/T35</f>
        <v>1814292.9672413799</v>
      </c>
      <c r="T35" s="18">
        <v>29</v>
      </c>
      <c r="U35" s="4"/>
      <c r="V35" s="131"/>
      <c r="W35" s="105">
        <v>-1246644</v>
      </c>
      <c r="X35" s="167"/>
      <c r="Y35" s="156">
        <f>Y34-K35-L35-1</f>
        <v>-1246644</v>
      </c>
      <c r="Z35" s="217"/>
      <c r="AA35" s="92"/>
      <c r="AD35" s="1"/>
      <c r="AE35" s="1"/>
    </row>
    <row r="36" spans="2:31">
      <c r="B36" s="116">
        <v>43937</v>
      </c>
      <c r="C36" s="14" t="str">
        <f t="shared" si="0"/>
        <v/>
      </c>
      <c r="D36" s="87"/>
      <c r="E36" s="87">
        <v>0</v>
      </c>
      <c r="F36" s="23">
        <v>-267911</v>
      </c>
      <c r="G36" s="26">
        <f>D36+E36+F36-E35-F35</f>
        <v>3266</v>
      </c>
      <c r="H36" s="132">
        <v>3000</v>
      </c>
      <c r="I36" s="25">
        <v>-13000</v>
      </c>
      <c r="J36" s="25">
        <v>100</v>
      </c>
      <c r="K36" s="301">
        <f t="shared" si="8"/>
        <v>-9900</v>
      </c>
      <c r="L36" s="171">
        <v>-44</v>
      </c>
      <c r="M36" s="153"/>
      <c r="N36" s="149">
        <f t="shared" si="6"/>
        <v>-6678</v>
      </c>
      <c r="O36" s="67">
        <f t="shared" si="2"/>
        <v>1627915.1683333339</v>
      </c>
      <c r="P36" s="7">
        <f t="shared" si="4"/>
        <v>48837455.050000019</v>
      </c>
      <c r="Q36" s="164">
        <f>Q35+N36-3</f>
        <v>1861885.4500000002</v>
      </c>
      <c r="R36" s="29">
        <f t="shared" si="3"/>
        <v>1338.1276635986926</v>
      </c>
      <c r="S36" s="5">
        <f>SUM($Q$7:$Q36)/T36</f>
        <v>1815879.383333334</v>
      </c>
      <c r="T36" s="18">
        <v>30</v>
      </c>
      <c r="U36" s="4"/>
      <c r="V36" s="136"/>
      <c r="W36" s="105">
        <v>-1236697</v>
      </c>
      <c r="X36" s="167"/>
      <c r="Y36" s="156">
        <f>Y35-K36-L36+3</f>
        <v>-1236697</v>
      </c>
      <c r="Z36" s="217"/>
      <c r="AD36" s="1"/>
      <c r="AE36" s="1"/>
    </row>
    <row r="37" spans="2:31">
      <c r="B37" s="116">
        <v>43938</v>
      </c>
      <c r="C37" s="14" t="str">
        <f t="shared" si="0"/>
        <v/>
      </c>
      <c r="D37" s="87"/>
      <c r="E37" s="87">
        <v>0</v>
      </c>
      <c r="F37" s="23">
        <v>-272013</v>
      </c>
      <c r="G37" s="26">
        <f>D37+E37+F37-E36-F36</f>
        <v>-4102</v>
      </c>
      <c r="H37" s="132">
        <v>500</v>
      </c>
      <c r="I37" s="25">
        <v>3400</v>
      </c>
      <c r="J37" s="25">
        <v>100</v>
      </c>
      <c r="K37" s="301">
        <f t="shared" si="8"/>
        <v>4000</v>
      </c>
      <c r="L37" s="171">
        <v>13</v>
      </c>
      <c r="M37" s="153"/>
      <c r="N37" s="149">
        <f t="shared" si="6"/>
        <v>-89</v>
      </c>
      <c r="O37" s="67">
        <f t="shared" si="2"/>
        <v>1631082.1129032266</v>
      </c>
      <c r="P37" s="7">
        <f t="shared" si="4"/>
        <v>50563545.500000022</v>
      </c>
      <c r="Q37" s="164">
        <f>Q36+N37-3</f>
        <v>1861793.4500000002</v>
      </c>
      <c r="R37" s="29">
        <f t="shared" si="3"/>
        <v>1339.2198273126353</v>
      </c>
      <c r="S37" s="5">
        <f>SUM($Q$7:$Q37)/T37+1</f>
        <v>1817361.4822580654</v>
      </c>
      <c r="T37" s="18">
        <v>31</v>
      </c>
      <c r="U37" s="27"/>
      <c r="V37" s="137"/>
      <c r="W37" s="105">
        <v>-1240707</v>
      </c>
      <c r="X37" s="167"/>
      <c r="Y37" s="156">
        <f>Y36-K37-L37+3</f>
        <v>-1240707</v>
      </c>
      <c r="Z37" s="217"/>
      <c r="AA37" s="92"/>
      <c r="AD37" s="1"/>
      <c r="AE37" s="1"/>
    </row>
    <row r="38" spans="2:31">
      <c r="B38" s="116">
        <v>43939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301"/>
      <c r="L38" s="171"/>
      <c r="M38" s="153"/>
      <c r="N38" s="149">
        <f t="shared" si="6"/>
        <v>0</v>
      </c>
      <c r="O38" s="67">
        <f t="shared" si="2"/>
        <v>1634051.1234375008</v>
      </c>
      <c r="P38" s="7">
        <f t="shared" si="4"/>
        <v>52289635.950000025</v>
      </c>
      <c r="Q38" s="164">
        <f>Q37+N38</f>
        <v>1861793.4500000002</v>
      </c>
      <c r="R38" s="29">
        <f t="shared" si="3"/>
        <v>1340.2423030441485</v>
      </c>
      <c r="S38" s="5">
        <f>SUM($Q$7:$Q38)/T38</f>
        <v>1818749.0125000009</v>
      </c>
      <c r="T38" s="18">
        <v>32</v>
      </c>
      <c r="U38" s="27"/>
      <c r="V38" s="137"/>
      <c r="W38" s="105">
        <v>-1240707</v>
      </c>
      <c r="X38" s="167"/>
      <c r="Y38" s="156">
        <f t="shared" si="7"/>
        <v>-1240707</v>
      </c>
      <c r="Z38" s="217"/>
      <c r="AD38" s="1"/>
      <c r="AE38" s="1"/>
    </row>
    <row r="39" spans="2:31">
      <c r="B39" s="116">
        <v>43940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301"/>
      <c r="L39" s="171"/>
      <c r="M39" s="153"/>
      <c r="N39" s="149">
        <f t="shared" si="6"/>
        <v>0</v>
      </c>
      <c r="O39" s="67">
        <f t="shared" si="2"/>
        <v>1636840.1939393948</v>
      </c>
      <c r="P39" s="7">
        <f t="shared" si="4"/>
        <v>54015726.400000028</v>
      </c>
      <c r="Q39" s="164">
        <f>Q38+N39</f>
        <v>1861793.4500000002</v>
      </c>
      <c r="R39" s="29">
        <f t="shared" si="3"/>
        <v>1341.2027658886984</v>
      </c>
      <c r="S39" s="5">
        <f>SUM($Q$7:$Q39)/T39-1</f>
        <v>1820052.3893939403</v>
      </c>
      <c r="T39" s="18">
        <v>33</v>
      </c>
      <c r="U39" s="27"/>
      <c r="V39" s="137"/>
      <c r="W39" s="105">
        <v>-1240707</v>
      </c>
      <c r="X39" s="167"/>
      <c r="Y39" s="156">
        <f t="shared" si="7"/>
        <v>-1240707</v>
      </c>
      <c r="Z39" s="217"/>
      <c r="AD39" s="1"/>
      <c r="AE39" s="1"/>
    </row>
    <row r="40" spans="2:31">
      <c r="B40" s="116">
        <v>43941</v>
      </c>
      <c r="C40" s="14" t="str">
        <f t="shared" si="0"/>
        <v/>
      </c>
      <c r="D40" s="87"/>
      <c r="E40" s="87">
        <v>1</v>
      </c>
      <c r="F40" s="23">
        <v>-293537</v>
      </c>
      <c r="G40" s="26">
        <f>D40+E40+F40-E37-F37</f>
        <v>-21523</v>
      </c>
      <c r="H40" s="132">
        <v>-13700</v>
      </c>
      <c r="I40" s="25">
        <v>-8300</v>
      </c>
      <c r="J40" s="25">
        <v>-500</v>
      </c>
      <c r="K40" s="301">
        <f t="shared" si="8"/>
        <v>-22500</v>
      </c>
      <c r="L40" s="171">
        <v>-21</v>
      </c>
      <c r="M40" s="153"/>
      <c r="N40" s="149">
        <f t="shared" si="6"/>
        <v>-44044</v>
      </c>
      <c r="O40" s="67">
        <f t="shared" si="2"/>
        <v>1638169.7602941187</v>
      </c>
      <c r="P40" s="7">
        <f t="shared" si="4"/>
        <v>55697771.850000031</v>
      </c>
      <c r="Q40" s="164">
        <f>Q39+N40-1</f>
        <v>1817748.4500000002</v>
      </c>
      <c r="R40" s="29">
        <f t="shared" si="3"/>
        <v>1341.1535463908865</v>
      </c>
      <c r="S40" s="5">
        <f>SUM($Q$7:$Q40)/T40</f>
        <v>1819985.5970588245</v>
      </c>
      <c r="T40" s="18">
        <v>34</v>
      </c>
      <c r="U40" s="138">
        <f>B40</f>
        <v>43941</v>
      </c>
      <c r="V40" s="131" t="s">
        <v>325</v>
      </c>
      <c r="W40" s="105">
        <v>-1218185</v>
      </c>
      <c r="X40" s="167">
        <f>AVERAGE(W40:W62)</f>
        <v>-1235467.875</v>
      </c>
      <c r="Y40" s="156">
        <f>Y39-K40-L40+1</f>
        <v>-1218185</v>
      </c>
      <c r="Z40" s="217">
        <f>AVERAGE(Y40:Y48)</f>
        <v>-1222132.7777777778</v>
      </c>
      <c r="AD40" s="1"/>
      <c r="AE40" s="1"/>
    </row>
    <row r="41" spans="2:31">
      <c r="B41" s="116">
        <v>43942</v>
      </c>
      <c r="C41" s="14" t="str">
        <f t="shared" si="0"/>
        <v/>
      </c>
      <c r="D41" s="250"/>
      <c r="E41" s="250">
        <v>0</v>
      </c>
      <c r="F41" s="251">
        <v>-293287</v>
      </c>
      <c r="G41" s="252">
        <f>D41+E41+F41-E40-F40</f>
        <v>249</v>
      </c>
      <c r="H41" s="253">
        <v>-7700</v>
      </c>
      <c r="I41" s="254">
        <v>-600</v>
      </c>
      <c r="J41" s="254">
        <v>-500</v>
      </c>
      <c r="K41" s="302">
        <f t="shared" si="8"/>
        <v>-8800</v>
      </c>
      <c r="L41" s="171">
        <v>40</v>
      </c>
      <c r="M41" s="153"/>
      <c r="N41" s="149">
        <f t="shared" si="6"/>
        <v>-8511</v>
      </c>
      <c r="O41" s="67">
        <f t="shared" si="2"/>
        <v>1639180.1514285724</v>
      </c>
      <c r="P41" s="7">
        <f t="shared" si="4"/>
        <v>57371305.300000034</v>
      </c>
      <c r="Q41" s="164">
        <f>Q40+N41-1</f>
        <v>1809236.4500000002</v>
      </c>
      <c r="R41" s="29">
        <f t="shared" si="3"/>
        <v>1340.9301773515911</v>
      </c>
      <c r="S41" s="5">
        <f>SUM($Q$7:$Q41)/T41+4</f>
        <v>1819682.4785714296</v>
      </c>
      <c r="T41" s="18">
        <v>35</v>
      </c>
      <c r="U41" s="138">
        <f>B40+8</f>
        <v>43949</v>
      </c>
      <c r="V41" s="131">
        <v>1594</v>
      </c>
      <c r="W41" s="105">
        <v>-1209424</v>
      </c>
      <c r="X41" s="167"/>
      <c r="Y41" s="156">
        <f t="shared" ref="Y41:Y42" si="10">Y40-K41-L41+1</f>
        <v>-1209424</v>
      </c>
      <c r="Z41" s="217"/>
      <c r="AD41" s="1"/>
      <c r="AE41" s="1"/>
    </row>
    <row r="42" spans="2:31">
      <c r="B42" s="116">
        <v>43943</v>
      </c>
      <c r="C42" s="14" t="str">
        <f t="shared" si="0"/>
        <v/>
      </c>
      <c r="D42" s="250">
        <f>-224+157+18906</f>
        <v>18839</v>
      </c>
      <c r="E42" s="250">
        <v>0</v>
      </c>
      <c r="F42" s="251">
        <v>-291380</v>
      </c>
      <c r="G42" s="252">
        <f>D42+E42+F42-E41-F41</f>
        <v>20746</v>
      </c>
      <c r="H42" s="253">
        <v>-200</v>
      </c>
      <c r="I42" s="254">
        <v>-10700</v>
      </c>
      <c r="J42" s="254">
        <v>-500</v>
      </c>
      <c r="K42" s="302">
        <f t="shared" si="8"/>
        <v>-11400</v>
      </c>
      <c r="L42" s="171">
        <v>-11</v>
      </c>
      <c r="M42" s="153"/>
      <c r="N42" s="149">
        <f t="shared" si="6"/>
        <v>9335</v>
      </c>
      <c r="O42" s="67">
        <f t="shared" si="2"/>
        <v>1640393.7152777789</v>
      </c>
      <c r="P42" s="7">
        <f t="shared" si="4"/>
        <v>59054173.750000037</v>
      </c>
      <c r="Q42" s="164">
        <f>Q41+N42</f>
        <v>1818571.4500000002</v>
      </c>
      <c r="R42" s="29">
        <f t="shared" si="3"/>
        <v>1340.9045693741325</v>
      </c>
      <c r="S42" s="5">
        <f>SUM($Q$7:$Q42)/T42</f>
        <v>1819647.7277777789</v>
      </c>
      <c r="T42" s="18">
        <v>36</v>
      </c>
      <c r="U42" s="138"/>
      <c r="V42" s="131"/>
      <c r="W42" s="105">
        <v>-1198012</v>
      </c>
      <c r="X42" s="167"/>
      <c r="Y42" s="156">
        <f t="shared" si="10"/>
        <v>-1198012</v>
      </c>
      <c r="Z42" s="217"/>
      <c r="AD42" s="1"/>
      <c r="AE42" s="1"/>
    </row>
    <row r="43" spans="2:31">
      <c r="B43" s="116">
        <v>43944</v>
      </c>
      <c r="C43" s="14" t="str">
        <f t="shared" si="0"/>
        <v/>
      </c>
      <c r="D43" s="250"/>
      <c r="E43" s="250">
        <v>0</v>
      </c>
      <c r="F43" s="251">
        <v>-294797</v>
      </c>
      <c r="G43" s="252">
        <f>D43+E43+F43-E42-F42</f>
        <v>-3417</v>
      </c>
      <c r="H43" s="253">
        <v>14300</v>
      </c>
      <c r="I43" s="254">
        <v>12100</v>
      </c>
      <c r="J43" s="254">
        <v>-600</v>
      </c>
      <c r="K43" s="302">
        <f t="shared" si="8"/>
        <v>25800</v>
      </c>
      <c r="L43" s="171">
        <v>-6</v>
      </c>
      <c r="M43" s="153"/>
      <c r="N43" s="149">
        <f t="shared" si="6"/>
        <v>22377</v>
      </c>
      <c r="O43" s="67">
        <f t="shared" si="2"/>
        <v>1642146.4648648659</v>
      </c>
      <c r="P43" s="7">
        <f t="shared" si="4"/>
        <v>60759419.20000004</v>
      </c>
      <c r="Q43" s="164">
        <f t="shared" ref="Q43:Q46" si="11">Q42+N43</f>
        <v>1840948.4500000002</v>
      </c>
      <c r="R43" s="29">
        <f t="shared" si="3"/>
        <v>1341.3243796916604</v>
      </c>
      <c r="S43" s="5">
        <f>SUM($Q$7:$Q43)/T43-6</f>
        <v>1820217.4229729739</v>
      </c>
      <c r="T43" s="18">
        <v>37</v>
      </c>
      <c r="U43" s="138"/>
      <c r="V43" s="131"/>
      <c r="W43" s="105">
        <v>-1223806</v>
      </c>
      <c r="X43" s="167"/>
      <c r="Y43" s="156">
        <f>Y42-K43-L43</f>
        <v>-1223806</v>
      </c>
      <c r="Z43" s="217"/>
      <c r="AD43" s="1"/>
      <c r="AE43" s="1"/>
    </row>
    <row r="44" spans="2:31">
      <c r="B44" s="116">
        <v>43945</v>
      </c>
      <c r="C44" s="14" t="str">
        <f t="shared" si="0"/>
        <v/>
      </c>
      <c r="D44" s="250"/>
      <c r="E44" s="250">
        <v>3</v>
      </c>
      <c r="F44" s="251">
        <v>-331635</v>
      </c>
      <c r="G44" s="252">
        <f>D44+E44+F44-E43-F43</f>
        <v>-36835</v>
      </c>
      <c r="H44" s="253">
        <v>300</v>
      </c>
      <c r="I44" s="254">
        <v>-2300</v>
      </c>
      <c r="J44" s="254">
        <v>-600</v>
      </c>
      <c r="K44" s="302">
        <f t="shared" si="8"/>
        <v>-2600</v>
      </c>
      <c r="L44" s="171">
        <f>7-14</f>
        <v>-7</v>
      </c>
      <c r="M44" s="153"/>
      <c r="N44" s="149">
        <f t="shared" si="6"/>
        <v>-39442</v>
      </c>
      <c r="O44" s="67">
        <f t="shared" si="2"/>
        <v>1642769.3328947381</v>
      </c>
      <c r="P44" s="7">
        <f t="shared" si="4"/>
        <v>62425234.650000043</v>
      </c>
      <c r="Q44" s="164">
        <f>Q43+N44+12</f>
        <v>1801518.4500000002</v>
      </c>
      <c r="R44" s="29">
        <f t="shared" si="3"/>
        <v>1340.9660706411107</v>
      </c>
      <c r="S44" s="5">
        <f>SUM($Q$7:$Q44)/T44</f>
        <v>1819731.1868421063</v>
      </c>
      <c r="T44" s="18">
        <v>38</v>
      </c>
      <c r="U44" s="138"/>
      <c r="V44" s="131"/>
      <c r="W44" s="105">
        <v>-1221212</v>
      </c>
      <c r="X44" s="167"/>
      <c r="Y44" s="156">
        <f>Y43-K44-L44+1</f>
        <v>-1221198</v>
      </c>
      <c r="Z44" s="217"/>
      <c r="AD44" s="1"/>
      <c r="AE44" s="1"/>
    </row>
    <row r="45" spans="2:31">
      <c r="B45" s="116">
        <v>43946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302"/>
      <c r="L45" s="171"/>
      <c r="M45" s="153"/>
      <c r="N45" s="149">
        <f t="shared" si="6"/>
        <v>0</v>
      </c>
      <c r="O45" s="67">
        <f t="shared" si="2"/>
        <v>1643360.2589743601</v>
      </c>
      <c r="P45" s="7">
        <f t="shared" si="4"/>
        <v>64091050.100000046</v>
      </c>
      <c r="Q45" s="164">
        <f t="shared" si="11"/>
        <v>1801518.4500000002</v>
      </c>
      <c r="R45" s="29">
        <f t="shared" si="3"/>
        <v>1340.6219417328612</v>
      </c>
      <c r="S45" s="5">
        <f>SUM($Q$7:$Q45)/T45</f>
        <v>1819264.1935897446</v>
      </c>
      <c r="T45" s="18">
        <v>39</v>
      </c>
      <c r="U45" s="138"/>
      <c r="V45" s="131"/>
      <c r="W45" s="105">
        <v>-1221212</v>
      </c>
      <c r="X45" s="167"/>
      <c r="Y45" s="156">
        <f>Y44-K45-L45</f>
        <v>-1221198</v>
      </c>
      <c r="Z45" s="217"/>
      <c r="AD45" s="1"/>
      <c r="AE45" s="1"/>
    </row>
    <row r="46" spans="2:31">
      <c r="B46" s="116">
        <v>43947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302"/>
      <c r="L46" s="171"/>
      <c r="M46" s="153"/>
      <c r="N46" s="149">
        <f t="shared" si="6"/>
        <v>0</v>
      </c>
      <c r="O46" s="67">
        <f t="shared" si="2"/>
        <v>1643921.6387500013</v>
      </c>
      <c r="P46" s="7">
        <f t="shared" si="4"/>
        <v>65756865.550000049</v>
      </c>
      <c r="Q46" s="164">
        <f t="shared" si="11"/>
        <v>1801518.4500000002</v>
      </c>
      <c r="R46" s="29">
        <f t="shared" si="3"/>
        <v>1340.2913347531014</v>
      </c>
      <c r="S46" s="5">
        <f>SUM($Q$7:$Q46)/T46-5</f>
        <v>1818815.5500000012</v>
      </c>
      <c r="T46" s="18">
        <v>40</v>
      </c>
      <c r="U46" s="138"/>
      <c r="V46" s="131"/>
      <c r="W46" s="105">
        <v>-1221212</v>
      </c>
      <c r="X46" s="167"/>
      <c r="Y46" s="156">
        <f>Y45-K46-L46</f>
        <v>-1221198</v>
      </c>
      <c r="Z46" s="217"/>
      <c r="AD46" s="1"/>
      <c r="AE46" s="1"/>
    </row>
    <row r="47" spans="2:31">
      <c r="B47" s="116">
        <v>43948</v>
      </c>
      <c r="C47" s="14" t="str">
        <f t="shared" si="0"/>
        <v/>
      </c>
      <c r="D47" s="250"/>
      <c r="E47" s="250">
        <v>0</v>
      </c>
      <c r="F47" s="251">
        <v>-346566</v>
      </c>
      <c r="G47" s="252">
        <f>D47+E47+F47-E44-F44</f>
        <v>-14934</v>
      </c>
      <c r="H47" s="253">
        <v>500</v>
      </c>
      <c r="I47" s="254">
        <v>30900</v>
      </c>
      <c r="J47" s="254">
        <v>-1100</v>
      </c>
      <c r="K47" s="302">
        <f t="shared" si="8"/>
        <v>30300</v>
      </c>
      <c r="L47" s="171">
        <v>22</v>
      </c>
      <c r="M47" s="153"/>
      <c r="N47" s="149">
        <f t="shared" si="6"/>
        <v>15388</v>
      </c>
      <c r="O47" s="67">
        <f t="shared" si="2"/>
        <v>1644830.9512195133</v>
      </c>
      <c r="P47" s="7">
        <f t="shared" si="4"/>
        <v>67438069.000000045</v>
      </c>
      <c r="Q47" s="164">
        <f>Q46+N47</f>
        <v>1816906.4500000002</v>
      </c>
      <c r="R47" s="29">
        <f t="shared" si="3"/>
        <v>1340.2606166659159</v>
      </c>
      <c r="S47" s="5">
        <f>SUM($Q$7:$Q47)/T47</f>
        <v>1818773.8646341476</v>
      </c>
      <c r="T47" s="18">
        <v>41</v>
      </c>
      <c r="U47" s="138">
        <f>B47</f>
        <v>43948</v>
      </c>
      <c r="V47" s="131" t="s">
        <v>326</v>
      </c>
      <c r="W47" s="105">
        <v>-1251534</v>
      </c>
      <c r="X47" s="167">
        <f>AVERAGE(W47:W69)</f>
        <v>-1250491.4444444445</v>
      </c>
      <c r="Y47" s="156">
        <f t="shared" ref="Y47:Y53" si="12">Y46-K47-L47</f>
        <v>-1251520</v>
      </c>
      <c r="Z47" s="217"/>
      <c r="AD47" s="1"/>
      <c r="AE47" s="1"/>
    </row>
    <row r="48" spans="2:31">
      <c r="B48" s="116">
        <v>43949</v>
      </c>
      <c r="C48" s="14" t="str">
        <f t="shared" si="0"/>
        <v/>
      </c>
      <c r="D48" s="250"/>
      <c r="E48" s="250">
        <v>0</v>
      </c>
      <c r="F48" s="251">
        <v>-343124</v>
      </c>
      <c r="G48" s="252">
        <f>D48+E48+F48-E47-F47</f>
        <v>3442</v>
      </c>
      <c r="H48" s="253">
        <v>-19300</v>
      </c>
      <c r="I48" s="254">
        <v>3500</v>
      </c>
      <c r="J48" s="254">
        <v>-1100</v>
      </c>
      <c r="K48" s="302">
        <f t="shared" si="8"/>
        <v>-16900</v>
      </c>
      <c r="L48" s="171">
        <v>33</v>
      </c>
      <c r="M48" s="153"/>
      <c r="N48" s="149">
        <f t="shared" si="6"/>
        <v>-13425</v>
      </c>
      <c r="O48" s="67">
        <f t="shared" si="2"/>
        <v>1645377.367857144</v>
      </c>
      <c r="P48" s="7">
        <f t="shared" si="4"/>
        <v>69105849.450000048</v>
      </c>
      <c r="Q48" s="164">
        <f>Q47+N48+2</f>
        <v>1803483.4500000002</v>
      </c>
      <c r="R48" s="29">
        <f t="shared" si="3"/>
        <v>1339.9938152751658</v>
      </c>
      <c r="S48" s="5">
        <f>SUM($Q$7:$Q48)/T48+2</f>
        <v>1818411.8071428584</v>
      </c>
      <c r="T48" s="18">
        <v>42</v>
      </c>
      <c r="U48" s="138">
        <f>B47+8</f>
        <v>43956</v>
      </c>
      <c r="V48" s="131">
        <v>1594.2</v>
      </c>
      <c r="W48" s="105">
        <v>-1234668</v>
      </c>
      <c r="X48" s="167"/>
      <c r="Y48" s="156">
        <f>Y47-K48-L48-1</f>
        <v>-1234654</v>
      </c>
      <c r="Z48" s="217"/>
      <c r="AD48" s="1"/>
      <c r="AE48" s="1"/>
    </row>
    <row r="49" spans="2:31">
      <c r="B49" s="116">
        <v>43950</v>
      </c>
      <c r="C49" s="14" t="str">
        <f t="shared" si="0"/>
        <v/>
      </c>
      <c r="D49" s="250">
        <f>-157+36657+266</f>
        <v>36766</v>
      </c>
      <c r="E49" s="250">
        <v>0</v>
      </c>
      <c r="F49" s="251">
        <v>-356186</v>
      </c>
      <c r="G49" s="252">
        <f t="shared" ref="G49:G50" si="13">D49+E49+F49-E48-F48</f>
        <v>23704</v>
      </c>
      <c r="H49" s="253">
        <v>500</v>
      </c>
      <c r="I49" s="254">
        <v>-12300</v>
      </c>
      <c r="J49" s="254">
        <v>-1100</v>
      </c>
      <c r="K49" s="302">
        <f t="shared" si="8"/>
        <v>-12900</v>
      </c>
      <c r="L49" s="171">
        <v>-94</v>
      </c>
      <c r="M49" s="153"/>
      <c r="N49" s="149">
        <f t="shared" si="6"/>
        <v>10710</v>
      </c>
      <c r="O49" s="67">
        <f t="shared" si="2"/>
        <v>1646147.4627906987</v>
      </c>
      <c r="P49" s="7">
        <f t="shared" si="4"/>
        <v>70784340.900000051</v>
      </c>
      <c r="Q49" s="164">
        <f>Q48+N49+1</f>
        <v>1814194.4500000002</v>
      </c>
      <c r="R49" s="29">
        <f t="shared" si="3"/>
        <v>1339.9156802586506</v>
      </c>
      <c r="S49" s="5">
        <f>SUM($Q$7:$Q49)/T49-6</f>
        <v>1818305.7755813967</v>
      </c>
      <c r="T49" s="18">
        <v>43</v>
      </c>
      <c r="U49" s="138"/>
      <c r="V49" s="131"/>
      <c r="W49" s="105">
        <v>-1221676</v>
      </c>
      <c r="X49" s="167"/>
      <c r="Y49" s="156">
        <f>Y48-K49-L49-1</f>
        <v>-1221661</v>
      </c>
      <c r="Z49" s="217"/>
      <c r="AD49" s="1"/>
      <c r="AE49" s="1"/>
    </row>
    <row r="50" spans="2:31">
      <c r="B50" s="116">
        <v>43951</v>
      </c>
      <c r="C50" s="14" t="str">
        <f t="shared" si="0"/>
        <v/>
      </c>
      <c r="D50" s="250">
        <f>-547+694</f>
        <v>147</v>
      </c>
      <c r="E50" s="250">
        <v>0</v>
      </c>
      <c r="F50" s="251">
        <v>-361803</v>
      </c>
      <c r="G50" s="252">
        <f t="shared" si="13"/>
        <v>-5470</v>
      </c>
      <c r="H50" s="253">
        <v>-2900</v>
      </c>
      <c r="I50" s="254">
        <v>22200</v>
      </c>
      <c r="J50" s="254">
        <v>-1100</v>
      </c>
      <c r="K50" s="302">
        <f t="shared" si="8"/>
        <v>18200</v>
      </c>
      <c r="L50" s="171">
        <v>5</v>
      </c>
      <c r="M50" s="153"/>
      <c r="N50" s="149">
        <f t="shared" si="6"/>
        <v>12735</v>
      </c>
      <c r="O50" s="67">
        <f t="shared" si="2"/>
        <v>1647171.6897727286</v>
      </c>
      <c r="P50" s="7">
        <f t="shared" si="4"/>
        <v>72475554.350000054</v>
      </c>
      <c r="Q50" s="164">
        <f>Q49+N50-13</f>
        <v>1826916.4500000002</v>
      </c>
      <c r="R50" s="29">
        <f t="shared" si="3"/>
        <v>1340.0531575305172</v>
      </c>
      <c r="S50" s="5">
        <f>SUM($Q$7:$Q50)/T50-15</f>
        <v>1818492.3363636376</v>
      </c>
      <c r="T50" s="18">
        <v>44</v>
      </c>
      <c r="U50" s="138"/>
      <c r="V50" s="131"/>
      <c r="W50" s="105">
        <v>-1239867</v>
      </c>
      <c r="X50" s="167"/>
      <c r="Y50" s="156">
        <f>Y49-K50-L50-1</f>
        <v>-1239867</v>
      </c>
      <c r="Z50" s="217"/>
      <c r="AD50" s="1"/>
      <c r="AE50" s="1"/>
    </row>
    <row r="51" spans="2:31">
      <c r="B51" s="116">
        <v>43952</v>
      </c>
      <c r="C51" s="14" t="s">
        <v>242</v>
      </c>
      <c r="D51" s="250"/>
      <c r="E51" s="250"/>
      <c r="F51" s="251"/>
      <c r="G51" s="252"/>
      <c r="H51" s="253"/>
      <c r="I51" s="254"/>
      <c r="J51" s="254"/>
      <c r="K51" s="302">
        <f t="shared" si="8"/>
        <v>0</v>
      </c>
      <c r="L51" s="171"/>
      <c r="M51" s="153"/>
      <c r="N51" s="149">
        <f t="shared" si="6"/>
        <v>0</v>
      </c>
      <c r="O51" s="67">
        <f t="shared" si="2"/>
        <v>1648150.3955555568</v>
      </c>
      <c r="P51" s="7">
        <f t="shared" si="4"/>
        <v>74166767.800000057</v>
      </c>
      <c r="Q51" s="164">
        <f>Q50+N51</f>
        <v>1826916.4500000002</v>
      </c>
      <c r="R51" s="29">
        <f t="shared" si="3"/>
        <v>1340.2019156212882</v>
      </c>
      <c r="S51" s="5">
        <f>SUM($Q$7:$Q51)/T51</f>
        <v>1818694.2055555568</v>
      </c>
      <c r="T51" s="18">
        <v>45</v>
      </c>
      <c r="U51" s="138"/>
      <c r="V51" s="131"/>
      <c r="W51" s="105">
        <v>-1239867</v>
      </c>
      <c r="X51" s="167"/>
      <c r="Y51" s="156">
        <f>Y50-K51-L51</f>
        <v>-1239867</v>
      </c>
      <c r="Z51" s="217"/>
      <c r="AD51" s="1"/>
      <c r="AE51" s="1"/>
    </row>
    <row r="52" spans="2:31">
      <c r="B52" s="116">
        <v>43953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302"/>
      <c r="L52" s="171"/>
      <c r="M52" s="153"/>
      <c r="N52" s="149">
        <f t="shared" si="6"/>
        <v>0</v>
      </c>
      <c r="O52" s="67">
        <f t="shared" si="2"/>
        <v>1649086.5489130449</v>
      </c>
      <c r="P52" s="7">
        <f t="shared" si="4"/>
        <v>75857981.25000006</v>
      </c>
      <c r="Q52" s="164">
        <f t="shared" ref="Q52:Q54" si="14">Q51+N52</f>
        <v>1826916.4500000002</v>
      </c>
      <c r="R52" s="29">
        <f t="shared" si="3"/>
        <v>1340.3336330073773</v>
      </c>
      <c r="S52" s="5">
        <f>SUM($Q$7:$Q52)/T52</f>
        <v>1818872.9500000014</v>
      </c>
      <c r="T52" s="18">
        <v>46</v>
      </c>
      <c r="U52" s="138"/>
      <c r="V52" s="131"/>
      <c r="W52" s="105">
        <v>-1239867</v>
      </c>
      <c r="X52" s="167"/>
      <c r="Y52" s="156">
        <f t="shared" si="12"/>
        <v>-1239867</v>
      </c>
      <c r="Z52" s="217"/>
      <c r="AD52" s="1"/>
      <c r="AE52" s="1"/>
    </row>
    <row r="53" spans="2:31" ht="11.25" customHeight="1">
      <c r="B53" s="116">
        <v>43954</v>
      </c>
      <c r="C53" s="14" t="str">
        <f t="shared" si="0"/>
        <v>F</v>
      </c>
      <c r="D53" s="250"/>
      <c r="E53" s="250"/>
      <c r="F53" s="251"/>
      <c r="G53" s="252"/>
      <c r="H53" s="253"/>
      <c r="I53" s="254"/>
      <c r="J53" s="254"/>
      <c r="K53" s="302"/>
      <c r="L53" s="171"/>
      <c r="M53" s="153"/>
      <c r="N53" s="149">
        <f t="shared" si="6"/>
        <v>0</v>
      </c>
      <c r="O53" s="67">
        <f t="shared" si="2"/>
        <v>1649982.865957448</v>
      </c>
      <c r="P53" s="7">
        <f t="shared" si="4"/>
        <v>77549194.700000063</v>
      </c>
      <c r="Q53" s="164">
        <f t="shared" si="14"/>
        <v>1826916.4500000002</v>
      </c>
      <c r="R53" s="29">
        <f t="shared" si="3"/>
        <v>1340.4597453983138</v>
      </c>
      <c r="S53" s="5">
        <f>SUM($Q$7:$Q53)/T53</f>
        <v>1819044.0882978737</v>
      </c>
      <c r="T53" s="18">
        <v>47</v>
      </c>
      <c r="U53" s="138"/>
      <c r="V53" s="131"/>
      <c r="W53" s="105">
        <v>-1239867</v>
      </c>
      <c r="X53" s="167"/>
      <c r="Y53" s="156">
        <f t="shared" si="12"/>
        <v>-1239867</v>
      </c>
      <c r="Z53" s="217"/>
      <c r="AD53" s="1"/>
      <c r="AE53" s="1"/>
    </row>
    <row r="54" spans="2:31">
      <c r="B54" s="116">
        <v>43955</v>
      </c>
      <c r="C54" s="14" t="str">
        <f t="shared" si="0"/>
        <v/>
      </c>
      <c r="D54" s="250"/>
      <c r="E54" s="250">
        <v>21</v>
      </c>
      <c r="F54" s="251">
        <v>-387798</v>
      </c>
      <c r="G54" s="252">
        <f>D54+E54+F54-E50-F50</f>
        <v>-25974</v>
      </c>
      <c r="H54" s="253">
        <v>18500</v>
      </c>
      <c r="I54" s="254">
        <v>33500</v>
      </c>
      <c r="J54" s="254">
        <v>-1000</v>
      </c>
      <c r="K54" s="302">
        <f t="shared" si="8"/>
        <v>51000</v>
      </c>
      <c r="L54" s="171">
        <v>46</v>
      </c>
      <c r="M54" s="153"/>
      <c r="N54" s="149">
        <f t="shared" si="6"/>
        <v>25072</v>
      </c>
      <c r="O54" s="67">
        <f t="shared" si="2"/>
        <v>1651364.169791668</v>
      </c>
      <c r="P54" s="7">
        <f t="shared" si="4"/>
        <v>79265480.150000066</v>
      </c>
      <c r="Q54" s="164">
        <f t="shared" si="14"/>
        <v>1851988.4500000002</v>
      </c>
      <c r="R54" s="29">
        <f t="shared" si="3"/>
        <v>1340.9655123075158</v>
      </c>
      <c r="S54" s="5">
        <f>SUM($Q$7:$Q54)/T54</f>
        <v>1819730.4291666681</v>
      </c>
      <c r="T54" s="18">
        <v>48</v>
      </c>
      <c r="U54" s="138"/>
      <c r="V54" s="131"/>
      <c r="W54" s="105">
        <v>-1290914</v>
      </c>
      <c r="X54" s="167"/>
      <c r="Y54" s="156">
        <f>Y53-K54-L54-1</f>
        <v>-1290914</v>
      </c>
      <c r="Z54" s="217"/>
      <c r="AD54" s="1"/>
      <c r="AE54" s="1"/>
    </row>
    <row r="55" spans="2:31" ht="12.75" thickBot="1">
      <c r="B55" s="220">
        <v>43956</v>
      </c>
      <c r="C55" s="221" t="str">
        <f t="shared" si="0"/>
        <v/>
      </c>
      <c r="D55" s="222"/>
      <c r="E55" s="222">
        <v>5</v>
      </c>
      <c r="F55" s="223">
        <v>-402119</v>
      </c>
      <c r="G55" s="224">
        <f>D55+E55+F55-E54-F54</f>
        <v>-14337</v>
      </c>
      <c r="H55" s="225">
        <v>500</v>
      </c>
      <c r="I55" s="226">
        <v>5700</v>
      </c>
      <c r="J55" s="226">
        <v>-1000</v>
      </c>
      <c r="K55" s="303">
        <f t="shared" si="8"/>
        <v>5200</v>
      </c>
      <c r="L55" s="174">
        <v>48</v>
      </c>
      <c r="M55" s="229"/>
      <c r="N55" s="230">
        <f t="shared" si="6"/>
        <v>-9089</v>
      </c>
      <c r="O55" s="231">
        <f t="shared" si="2"/>
        <v>1652503.6448979606</v>
      </c>
      <c r="P55" s="232">
        <f t="shared" si="4"/>
        <v>80972678.600000069</v>
      </c>
      <c r="Q55" s="164">
        <f>Q54+N55+2</f>
        <v>1842901.4500000002</v>
      </c>
      <c r="R55" s="234">
        <f t="shared" si="3"/>
        <v>1341.3036610412878</v>
      </c>
      <c r="S55" s="235">
        <f>SUM($Q$7:$Q55)/T55-14</f>
        <v>1820189.3071428586</v>
      </c>
      <c r="T55" s="236">
        <v>49</v>
      </c>
      <c r="U55" s="237"/>
      <c r="V55" s="244"/>
      <c r="W55" s="239">
        <v>-1296163</v>
      </c>
      <c r="X55" s="240"/>
      <c r="Y55" s="241">
        <f>Y54-K55-L55-1</f>
        <v>-1296163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'Feb 2020'!Q55</f>
        <v>1543960.4500000002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'Feb 2020'!E55</f>
        <v>0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'Feb 2020'!F55</f>
        <v>-291447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'Feb 2020'!W55</f>
        <v>-1217728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B1:IU65518"/>
  <sheetViews>
    <sheetView zoomScaleNormal="100" workbookViewId="0">
      <pane xSplit="2" ySplit="6" topLeftCell="E37" activePane="bottomRight" state="frozen"/>
      <selection pane="topRight" activeCell="C1" sqref="C1"/>
      <selection pane="bottomLeft" activeCell="A7" sqref="A7"/>
      <selection pane="bottomRight" activeCell="H40" sqref="H40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139395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43957</v>
      </c>
      <c r="C7" s="196" t="str">
        <f t="shared" ref="C7:C41" si="0">IF(OR(WEEKDAY(B7)=1,WEEKDAY(B7)=7),"F","")</f>
        <v/>
      </c>
      <c r="D7" s="197">
        <f>-266+14282+346</f>
        <v>14362</v>
      </c>
      <c r="E7" s="197">
        <v>0</v>
      </c>
      <c r="F7" s="198">
        <v>-271766</v>
      </c>
      <c r="G7" s="199">
        <f>D7+E7+F7-G46-G47</f>
        <v>144710</v>
      </c>
      <c r="H7" s="304">
        <v>300</v>
      </c>
      <c r="I7" s="305">
        <v>-8000</v>
      </c>
      <c r="J7" s="305">
        <v>-1000</v>
      </c>
      <c r="K7" s="168">
        <f t="shared" ref="K7:K9" si="1">+H7+I7+J7</f>
        <v>-8700</v>
      </c>
      <c r="L7" s="169">
        <v>8</v>
      </c>
      <c r="M7" s="203"/>
      <c r="N7" s="204">
        <f>L7+K7+G7+M7</f>
        <v>136018</v>
      </c>
      <c r="O7" s="205">
        <f t="shared" ref="O7:O41" si="2">P7/T7</f>
        <v>1839492.4500000002</v>
      </c>
      <c r="P7" s="206">
        <f>(+$Q7-$Q$3)</f>
        <v>1839492.4500000002</v>
      </c>
      <c r="Q7" s="207">
        <f>G45+N7-18-13-1</f>
        <v>1978887.4500000002</v>
      </c>
      <c r="R7" s="208">
        <f t="shared" ref="R7:R41" si="3">$S7/$Q$3*100</f>
        <v>1419.6258474120307</v>
      </c>
      <c r="S7" s="209">
        <f>$Q7</f>
        <v>1978887.4500000002</v>
      </c>
      <c r="T7" s="210">
        <v>1</v>
      </c>
      <c r="U7" s="211">
        <f>B7</f>
        <v>43957</v>
      </c>
      <c r="V7" s="212" t="s">
        <v>327</v>
      </c>
      <c r="W7" s="213">
        <v>-1287471</v>
      </c>
      <c r="X7" s="214">
        <f>AVERAGE(W7:W15)</f>
        <v>-1292278.888888889</v>
      </c>
      <c r="Y7" s="215">
        <f>-L7-K7+'Apr 2020 '!Y55</f>
        <v>-1287471</v>
      </c>
      <c r="Z7" s="216">
        <f>AVERAGE(Y7:Y13)</f>
        <v>-1295849.7142857143</v>
      </c>
      <c r="AA7" s="92"/>
    </row>
    <row r="8" spans="2:255">
      <c r="B8" s="116">
        <v>43958</v>
      </c>
      <c r="C8" s="14"/>
      <c r="D8" s="128"/>
      <c r="E8" s="128">
        <v>0</v>
      </c>
      <c r="F8" s="162">
        <v>-254285</v>
      </c>
      <c r="G8" s="26">
        <f>D8+E8+F8-E7-F7</f>
        <v>17481</v>
      </c>
      <c r="H8" s="132">
        <v>300</v>
      </c>
      <c r="I8" s="63">
        <v>5700</v>
      </c>
      <c r="J8" s="63">
        <v>-1000</v>
      </c>
      <c r="K8" s="170">
        <f t="shared" si="1"/>
        <v>5000</v>
      </c>
      <c r="L8" s="171">
        <v>32</v>
      </c>
      <c r="M8" s="153"/>
      <c r="N8" s="149">
        <f>L8+K8+G8+M8</f>
        <v>22513</v>
      </c>
      <c r="O8" s="67">
        <f t="shared" si="2"/>
        <v>931003.22500000009</v>
      </c>
      <c r="P8" s="163">
        <f>(IF($Q8&lt;0,-$Q$3+P6,($Q8-$Q$3)+P6))</f>
        <v>1862006.4500000002</v>
      </c>
      <c r="Q8" s="164">
        <f>Q7+N8+1</f>
        <v>2001401.4500000002</v>
      </c>
      <c r="R8" s="29">
        <f t="shared" si="3"/>
        <v>1427.7014598801968</v>
      </c>
      <c r="S8" s="165">
        <f>SUM($Q$7:$Q8)/T8</f>
        <v>1990144.4500000002</v>
      </c>
      <c r="T8" s="166">
        <v>2</v>
      </c>
      <c r="U8" s="138">
        <f>B7+6</f>
        <v>43963</v>
      </c>
      <c r="V8" s="131">
        <v>1572.5</v>
      </c>
      <c r="W8" s="105">
        <v>-1292503</v>
      </c>
      <c r="X8" s="167"/>
      <c r="Y8" s="156">
        <f>Y7-K8-L8</f>
        <v>-1292503</v>
      </c>
      <c r="Z8" s="217"/>
      <c r="AA8" s="92"/>
    </row>
    <row r="9" spans="2:255">
      <c r="B9" s="116">
        <v>43959</v>
      </c>
      <c r="C9" s="14" t="str">
        <f t="shared" si="0"/>
        <v/>
      </c>
      <c r="D9" s="87"/>
      <c r="E9" s="87">
        <v>0</v>
      </c>
      <c r="F9" s="23">
        <v>-254328</v>
      </c>
      <c r="G9" s="26">
        <f>D9+E9+F9-E8-F8</f>
        <v>-43</v>
      </c>
      <c r="H9" s="132">
        <v>300</v>
      </c>
      <c r="I9" s="63">
        <v>7400</v>
      </c>
      <c r="J9" s="63">
        <v>-1100</v>
      </c>
      <c r="K9" s="170">
        <f t="shared" si="1"/>
        <v>6600</v>
      </c>
      <c r="L9" s="171">
        <v>-36</v>
      </c>
      <c r="M9" s="153"/>
      <c r="N9" s="149">
        <f>L9+K9+G9+M9</f>
        <v>6521</v>
      </c>
      <c r="O9" s="67">
        <f t="shared" si="2"/>
        <v>1236006.6333333335</v>
      </c>
      <c r="P9" s="7">
        <f>(IF($Q9&lt;0,-$Q$3+P7,($Q9-$Q$3)+P7))</f>
        <v>3708019.9000000004</v>
      </c>
      <c r="Q9" s="164">
        <f>Q8+N9</f>
        <v>2007922.4500000002</v>
      </c>
      <c r="R9" s="29">
        <f t="shared" si="3"/>
        <v>1431.9534057893038</v>
      </c>
      <c r="S9" s="5">
        <f>SUM($Q$7:$Q9)/T9+1</f>
        <v>1996071.4500000002</v>
      </c>
      <c r="T9" s="17">
        <v>3</v>
      </c>
      <c r="U9" s="4"/>
      <c r="V9" s="131"/>
      <c r="W9" s="105">
        <v>-1299068</v>
      </c>
      <c r="X9" s="167"/>
      <c r="Y9" s="156">
        <f>Y8-K9-L9-1</f>
        <v>-1299068</v>
      </c>
      <c r="Z9" s="217"/>
      <c r="AA9" s="92"/>
    </row>
    <row r="10" spans="2:255">
      <c r="B10" s="116">
        <v>43960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1394136.8375000001</v>
      </c>
      <c r="P10" s="7">
        <f t="shared" ref="P10:P41" si="4">(IF($Q10&lt;0,-$Q$3+P9,($Q10-$Q$3)+P9))</f>
        <v>5576547.3500000006</v>
      </c>
      <c r="Q10" s="164">
        <f t="shared" ref="Q10:Q32" si="5">Q9+N10</f>
        <v>2007922.4500000002</v>
      </c>
      <c r="R10" s="29">
        <f t="shared" si="3"/>
        <v>1434.0775852792426</v>
      </c>
      <c r="S10" s="5">
        <f>SUM($Q$7:$Q10)/T10-1</f>
        <v>1999032.4500000002</v>
      </c>
      <c r="T10" s="17">
        <v>4</v>
      </c>
      <c r="U10" s="27"/>
      <c r="V10" s="133"/>
      <c r="W10" s="105">
        <v>-1299068</v>
      </c>
      <c r="X10" s="167"/>
      <c r="Y10" s="156">
        <f>Y9-K10-L10</f>
        <v>-1299068</v>
      </c>
      <c r="Z10" s="217"/>
      <c r="AA10" s="92"/>
    </row>
    <row r="11" spans="2:255">
      <c r="B11" s="116">
        <v>43961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1" si="6">L11+K11+G11+M11</f>
        <v>0</v>
      </c>
      <c r="O11" s="67">
        <f t="shared" si="2"/>
        <v>1489014.9600000002</v>
      </c>
      <c r="P11" s="7">
        <f t="shared" si="4"/>
        <v>7445074.8000000007</v>
      </c>
      <c r="Q11" s="164">
        <f t="shared" si="5"/>
        <v>2007922.4500000002</v>
      </c>
      <c r="R11" s="29">
        <f t="shared" si="3"/>
        <v>1435.3536712220669</v>
      </c>
      <c r="S11" s="5">
        <f>SUM($Q$7:$Q11)/T11</f>
        <v>2000811.25</v>
      </c>
      <c r="T11" s="17">
        <v>5</v>
      </c>
      <c r="U11" s="27"/>
      <c r="V11" s="134"/>
      <c r="W11" s="105">
        <v>-1299068</v>
      </c>
      <c r="X11" s="167"/>
      <c r="Y11" s="156">
        <f t="shared" ref="Y11:Y39" si="7">Y10-K11-L11</f>
        <v>-1299068</v>
      </c>
      <c r="Z11" s="217"/>
      <c r="AA11" s="92"/>
    </row>
    <row r="12" spans="2:255">
      <c r="B12" s="116">
        <v>43962</v>
      </c>
      <c r="C12" s="14" t="str">
        <f t="shared" si="0"/>
        <v/>
      </c>
      <c r="D12" s="87"/>
      <c r="E12" s="161">
        <v>5</v>
      </c>
      <c r="F12" s="23">
        <v>-260555</v>
      </c>
      <c r="G12" s="26">
        <f>D12+E12+F12-E9-F9</f>
        <v>-6222</v>
      </c>
      <c r="H12" s="132">
        <v>600</v>
      </c>
      <c r="I12" s="63">
        <v>-1100</v>
      </c>
      <c r="J12" s="63">
        <v>-900</v>
      </c>
      <c r="K12" s="170">
        <f t="shared" ref="K12:K41" si="8">+H12+I12+J12</f>
        <v>-1400</v>
      </c>
      <c r="L12" s="171">
        <v>11</v>
      </c>
      <c r="M12" s="153"/>
      <c r="N12" s="149">
        <f t="shared" si="6"/>
        <v>-7611</v>
      </c>
      <c r="O12" s="67">
        <f t="shared" si="2"/>
        <v>1550998.7083333333</v>
      </c>
      <c r="P12" s="7">
        <f t="shared" si="4"/>
        <v>9305992.25</v>
      </c>
      <c r="Q12" s="164">
        <f>Q11+N12+1</f>
        <v>2000312.4500000002</v>
      </c>
      <c r="R12" s="29">
        <f t="shared" si="3"/>
        <v>1435.2940325454044</v>
      </c>
      <c r="S12" s="5">
        <f>SUM($Q$7:$Q12)/T12</f>
        <v>2000728.1166666665</v>
      </c>
      <c r="T12" s="17">
        <v>6</v>
      </c>
      <c r="U12" s="138">
        <f>B12</f>
        <v>43962</v>
      </c>
      <c r="V12" s="131" t="s">
        <v>329</v>
      </c>
      <c r="W12" s="105">
        <v>-1297680</v>
      </c>
      <c r="X12" s="167">
        <f>AVERAGE(W12:W20)</f>
        <v>-1275917.5555555555</v>
      </c>
      <c r="Y12" s="156">
        <f>Y11-K12-L12-1</f>
        <v>-1297680</v>
      </c>
      <c r="Z12" s="217">
        <f>AVERAGE(Y12:Y20)</f>
        <v>-1275917.6666666667</v>
      </c>
      <c r="AA12" s="92"/>
    </row>
    <row r="13" spans="2:255">
      <c r="B13" s="116">
        <v>43963</v>
      </c>
      <c r="C13" s="14"/>
      <c r="D13" s="87"/>
      <c r="E13" s="87">
        <v>0</v>
      </c>
      <c r="F13" s="23">
        <v>-257472</v>
      </c>
      <c r="G13" s="26">
        <f>D13+E13+F13-E12-F12</f>
        <v>3078</v>
      </c>
      <c r="H13" s="132">
        <v>500</v>
      </c>
      <c r="I13" s="63">
        <v>-1200</v>
      </c>
      <c r="J13" s="63">
        <v>-900</v>
      </c>
      <c r="K13" s="170">
        <f t="shared" si="8"/>
        <v>-1600</v>
      </c>
      <c r="L13" s="171">
        <v>11</v>
      </c>
      <c r="M13" s="153"/>
      <c r="N13" s="149">
        <f t="shared" si="6"/>
        <v>1489</v>
      </c>
      <c r="O13" s="67">
        <f t="shared" si="2"/>
        <v>1595485.5285714285</v>
      </c>
      <c r="P13" s="7">
        <f>(IF($Q13&lt;0,-$Q$3+P12,($Q13-$Q$3)+P12))</f>
        <v>11168398.699999999</v>
      </c>
      <c r="Q13" s="164">
        <f>Q12+N13</f>
        <v>2001801.4500000002</v>
      </c>
      <c r="R13" s="29">
        <f t="shared" si="3"/>
        <v>1435.4040317084541</v>
      </c>
      <c r="S13" s="5">
        <f>SUM($Q$7:$Q13)/T13</f>
        <v>2000881.4499999997</v>
      </c>
      <c r="T13" s="17">
        <v>7</v>
      </c>
      <c r="U13" s="138">
        <f>B14+6</f>
        <v>43970</v>
      </c>
      <c r="V13" s="249">
        <v>1646.2</v>
      </c>
      <c r="W13" s="105">
        <v>-1296090</v>
      </c>
      <c r="X13" s="167"/>
      <c r="Y13" s="156">
        <f>Y12-K13-L13+1</f>
        <v>-1296090</v>
      </c>
      <c r="Z13" s="217"/>
      <c r="AA13" s="92"/>
      <c r="AB13" s="92"/>
    </row>
    <row r="14" spans="2:255">
      <c r="B14" s="116">
        <v>43964</v>
      </c>
      <c r="C14" s="14"/>
      <c r="D14" s="87">
        <f>-346+266+6817</f>
        <v>6737</v>
      </c>
      <c r="E14" s="87">
        <v>0</v>
      </c>
      <c r="F14" s="23">
        <v>-266980</v>
      </c>
      <c r="G14" s="26">
        <f>D14+E14+F14-E13-F13</f>
        <v>-2771</v>
      </c>
      <c r="H14" s="132">
        <v>500</v>
      </c>
      <c r="I14" s="63">
        <v>-8400</v>
      </c>
      <c r="J14" s="63">
        <v>-1000</v>
      </c>
      <c r="K14" s="170">
        <f t="shared" si="8"/>
        <v>-8900</v>
      </c>
      <c r="L14" s="171">
        <v>34</v>
      </c>
      <c r="M14" s="154"/>
      <c r="N14" s="149">
        <f>L14+K14+G14+M14</f>
        <v>-11637</v>
      </c>
      <c r="O14" s="67">
        <f t="shared" si="2"/>
        <v>1627395.7687499998</v>
      </c>
      <c r="P14" s="7">
        <f t="shared" si="4"/>
        <v>13019166.149999999</v>
      </c>
      <c r="Q14" s="164">
        <f>Q13+N14-2</f>
        <v>1990162.4500000002</v>
      </c>
      <c r="R14" s="29">
        <f t="shared" si="3"/>
        <v>1434.4435417339214</v>
      </c>
      <c r="S14" s="5">
        <f>SUM($Q$7:$Q14)/T14+1</f>
        <v>1999542.5749999997</v>
      </c>
      <c r="T14" s="17">
        <v>8</v>
      </c>
      <c r="U14" s="4"/>
      <c r="V14" s="4"/>
      <c r="W14" s="105">
        <v>-1287224</v>
      </c>
      <c r="X14" s="167"/>
      <c r="Y14" s="156">
        <f>Y13-K14-L14</f>
        <v>-1287224</v>
      </c>
      <c r="Z14" s="217"/>
      <c r="AA14" s="92"/>
    </row>
    <row r="15" spans="2:255">
      <c r="B15" s="116">
        <v>43965</v>
      </c>
      <c r="C15" s="14" t="str">
        <f t="shared" si="0"/>
        <v/>
      </c>
      <c r="D15" s="87"/>
      <c r="E15" s="87">
        <v>0</v>
      </c>
      <c r="F15" s="23">
        <v>-273874</v>
      </c>
      <c r="G15" s="26">
        <f>D15+E15+F15-E14-F14</f>
        <v>-6894</v>
      </c>
      <c r="H15" s="132">
        <v>500</v>
      </c>
      <c r="I15" s="63">
        <v>-14400</v>
      </c>
      <c r="J15" s="63">
        <v>-1000</v>
      </c>
      <c r="K15" s="170">
        <f t="shared" si="8"/>
        <v>-14900</v>
      </c>
      <c r="L15" s="172">
        <v>12</v>
      </c>
      <c r="M15" s="153"/>
      <c r="N15" s="149">
        <f>L15+K15+G15+M15</f>
        <v>-21782</v>
      </c>
      <c r="O15" s="67">
        <f t="shared" si="2"/>
        <v>1649794.8444444442</v>
      </c>
      <c r="P15" s="7">
        <f t="shared" si="4"/>
        <v>14848153.599999998</v>
      </c>
      <c r="Q15" s="164">
        <f>Q14+N15+1+1</f>
        <v>1968382.4500000002</v>
      </c>
      <c r="R15" s="29">
        <f t="shared" si="3"/>
        <v>1431.9591448760714</v>
      </c>
      <c r="S15" s="5">
        <f>SUM($Q$7:$Q15)/T15</f>
        <v>1996079.4499999997</v>
      </c>
      <c r="T15" s="17">
        <v>9</v>
      </c>
      <c r="U15" s="4"/>
      <c r="V15" s="4"/>
      <c r="W15" s="105">
        <v>-1272338</v>
      </c>
      <c r="X15" s="167"/>
      <c r="Y15" s="156">
        <f>Y14-K15-L15-1-2</f>
        <v>-1272339</v>
      </c>
      <c r="Z15" s="217"/>
      <c r="AA15" s="92"/>
      <c r="AB15" s="92"/>
    </row>
    <row r="16" spans="2:255" s="69" customFormat="1">
      <c r="B16" s="116">
        <v>43966</v>
      </c>
      <c r="C16" s="14" t="str">
        <f t="shared" si="0"/>
        <v/>
      </c>
      <c r="D16" s="129"/>
      <c r="E16" s="87">
        <v>0</v>
      </c>
      <c r="F16" s="23">
        <v>-269032</v>
      </c>
      <c r="G16" s="26">
        <f>D16+E16+F16-E15-F15</f>
        <v>4842</v>
      </c>
      <c r="H16" s="132">
        <v>500</v>
      </c>
      <c r="I16" s="63">
        <v>-4350</v>
      </c>
      <c r="J16" s="63">
        <v>-1000</v>
      </c>
      <c r="K16" s="170">
        <f t="shared" si="8"/>
        <v>-4850</v>
      </c>
      <c r="L16" s="172">
        <v>3</v>
      </c>
      <c r="M16" s="153"/>
      <c r="N16" s="152">
        <f>L16+K16+G16+M16</f>
        <v>-5</v>
      </c>
      <c r="O16" s="67">
        <f t="shared" si="2"/>
        <v>1667713.7049999996</v>
      </c>
      <c r="P16" s="70">
        <f t="shared" si="4"/>
        <v>16677137.049999997</v>
      </c>
      <c r="Q16" s="164">
        <f>Q15+N16+1</f>
        <v>1968378.4500000002</v>
      </c>
      <c r="R16" s="71">
        <f t="shared" si="3"/>
        <v>1429.9719143441298</v>
      </c>
      <c r="S16" s="72">
        <f>SUM($Q$7:$Q16)/T16</f>
        <v>1993309.3499999996</v>
      </c>
      <c r="T16" s="73">
        <v>10</v>
      </c>
      <c r="U16" s="218"/>
      <c r="V16" s="133"/>
      <c r="W16" s="105">
        <v>-1267491</v>
      </c>
      <c r="X16" s="167"/>
      <c r="Y16" s="156">
        <f>Y15-K16-L16+1</f>
        <v>-1267491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43967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1682374.5909090906</v>
      </c>
      <c r="P17" s="7">
        <f t="shared" si="4"/>
        <v>18506120.499999996</v>
      </c>
      <c r="Q17" s="164">
        <f t="shared" si="5"/>
        <v>1968378.4500000002</v>
      </c>
      <c r="R17" s="29">
        <f t="shared" si="3"/>
        <v>1428.3459984543592</v>
      </c>
      <c r="S17" s="5">
        <f>SUM($Q$7:$Q17)/T17</f>
        <v>1991042.9045454541</v>
      </c>
      <c r="T17" s="18">
        <v>11</v>
      </c>
      <c r="U17" s="27"/>
      <c r="V17" s="136"/>
      <c r="W17" s="105">
        <v>-1267491</v>
      </c>
      <c r="X17" s="167"/>
      <c r="Y17" s="156">
        <f t="shared" si="7"/>
        <v>-1267491</v>
      </c>
      <c r="Z17" s="217"/>
      <c r="AA17" s="92"/>
      <c r="AC17" s="92"/>
    </row>
    <row r="18" spans="2:31">
      <c r="B18" s="116">
        <v>43968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1694591.9958333329</v>
      </c>
      <c r="P18" s="7">
        <f t="shared" si="4"/>
        <v>20335103.949999996</v>
      </c>
      <c r="Q18" s="164">
        <f t="shared" si="5"/>
        <v>1968378.4500000002</v>
      </c>
      <c r="R18" s="29">
        <f t="shared" si="3"/>
        <v>1426.9896337745254</v>
      </c>
      <c r="S18" s="5">
        <f>SUM($Q$7:$Q18)/T18-2</f>
        <v>1989152.1999999995</v>
      </c>
      <c r="T18" s="18">
        <v>12</v>
      </c>
      <c r="U18" s="27"/>
      <c r="V18" s="136"/>
      <c r="W18" s="105">
        <v>-1267491</v>
      </c>
      <c r="X18" s="167"/>
      <c r="Y18" s="156">
        <f t="shared" si="7"/>
        <v>-1267491</v>
      </c>
      <c r="Z18" s="217"/>
      <c r="AA18" s="92"/>
    </row>
    <row r="19" spans="2:31">
      <c r="B19" s="116">
        <v>43969</v>
      </c>
      <c r="C19" s="14" t="str">
        <f t="shared" si="0"/>
        <v/>
      </c>
      <c r="D19" s="87"/>
      <c r="E19" s="87">
        <v>0</v>
      </c>
      <c r="F19" s="23">
        <v>-279772</v>
      </c>
      <c r="G19" s="26">
        <f>D19+E19+F19-E16-F16</f>
        <v>-10740</v>
      </c>
      <c r="H19" s="132">
        <v>300</v>
      </c>
      <c r="I19" s="25">
        <v>-5300</v>
      </c>
      <c r="J19" s="63">
        <v>-800</v>
      </c>
      <c r="K19" s="170">
        <f t="shared" si="8"/>
        <v>-5800</v>
      </c>
      <c r="L19" s="171">
        <v>-34</v>
      </c>
      <c r="M19" s="153"/>
      <c r="N19" s="149">
        <f t="shared" si="6"/>
        <v>-16574</v>
      </c>
      <c r="O19" s="67">
        <f t="shared" si="2"/>
        <v>1703654.8769230766</v>
      </c>
      <c r="P19" s="7">
        <f t="shared" si="4"/>
        <v>22147513.399999995</v>
      </c>
      <c r="Q19" s="164">
        <f>Q18+N19</f>
        <v>1951804.4500000002</v>
      </c>
      <c r="R19" s="29">
        <f t="shared" si="3"/>
        <v>1424.9285428513876</v>
      </c>
      <c r="S19" s="5">
        <f>SUM($Q$7:$Q19)/T19-2</f>
        <v>1986279.1423076917</v>
      </c>
      <c r="T19" s="18">
        <v>13</v>
      </c>
      <c r="U19" s="138">
        <f>B19</f>
        <v>43969</v>
      </c>
      <c r="V19" s="131" t="s">
        <v>330</v>
      </c>
      <c r="W19" s="105">
        <v>-1261658</v>
      </c>
      <c r="X19" s="167">
        <f>AVERAGE(W19:W27)</f>
        <v>-1261386.6666666667</v>
      </c>
      <c r="Y19" s="156">
        <f>Y18-K19-L19-1</f>
        <v>-1261658</v>
      </c>
      <c r="Z19" s="217">
        <f>AVERAGE(Y19:Y27)</f>
        <v>-1261386.7777777778</v>
      </c>
      <c r="AA19" s="92"/>
    </row>
    <row r="20" spans="2:31">
      <c r="B20" s="116">
        <v>43970</v>
      </c>
      <c r="C20" s="14"/>
      <c r="D20" s="87"/>
      <c r="E20" s="87">
        <v>0</v>
      </c>
      <c r="F20" s="23">
        <v>-272574</v>
      </c>
      <c r="G20" s="26">
        <f>D20+E20+F20-E19-F19</f>
        <v>7198</v>
      </c>
      <c r="H20" s="132">
        <v>-11700</v>
      </c>
      <c r="I20" s="25">
        <v>16600</v>
      </c>
      <c r="J20" s="63">
        <v>-800</v>
      </c>
      <c r="K20" s="170">
        <f t="shared" si="8"/>
        <v>4100</v>
      </c>
      <c r="L20" s="171">
        <v>37</v>
      </c>
      <c r="M20" s="153"/>
      <c r="N20" s="149">
        <f t="shared" si="6"/>
        <v>11335</v>
      </c>
      <c r="O20" s="67">
        <f t="shared" si="2"/>
        <v>1712232.7035714281</v>
      </c>
      <c r="P20" s="7">
        <f t="shared" si="4"/>
        <v>23971257.849999994</v>
      </c>
      <c r="Q20" s="164">
        <f>Q19+N20</f>
        <v>1963139.4500000002</v>
      </c>
      <c r="R20" s="29">
        <f t="shared" si="3"/>
        <v>1423.7427198147093</v>
      </c>
      <c r="S20" s="5">
        <f>SUM($Q$7:$Q20)/T20-2</f>
        <v>1984626.1642857138</v>
      </c>
      <c r="T20" s="18">
        <v>14</v>
      </c>
      <c r="U20" s="138">
        <f>B19+8</f>
        <v>43977</v>
      </c>
      <c r="V20" s="131">
        <v>1703.8</v>
      </c>
      <c r="W20" s="105">
        <v>-1265795</v>
      </c>
      <c r="X20" s="167"/>
      <c r="Y20" s="156">
        <f>Y19-K20-L20</f>
        <v>-1265795</v>
      </c>
      <c r="Z20" s="217"/>
      <c r="AA20" s="92"/>
      <c r="AB20" s="92"/>
    </row>
    <row r="21" spans="2:31">
      <c r="B21" s="116">
        <v>43971</v>
      </c>
      <c r="C21" s="14" t="str">
        <f t="shared" si="0"/>
        <v/>
      </c>
      <c r="D21" s="87">
        <f>-266+178+8725</f>
        <v>8637</v>
      </c>
      <c r="E21" s="87">
        <v>0</v>
      </c>
      <c r="F21" s="23">
        <v>-266463</v>
      </c>
      <c r="G21" s="26">
        <f>D21+E21+F21-E20-F20</f>
        <v>14748</v>
      </c>
      <c r="H21" s="132">
        <v>-13700</v>
      </c>
      <c r="I21" s="25">
        <v>5400</v>
      </c>
      <c r="J21" s="63">
        <v>-800</v>
      </c>
      <c r="K21" s="170">
        <f t="shared" si="8"/>
        <v>-9100</v>
      </c>
      <c r="L21" s="171">
        <v>46</v>
      </c>
      <c r="M21" s="153"/>
      <c r="N21" s="149">
        <f>L21+K21+G21+M21</f>
        <v>5694</v>
      </c>
      <c r="O21" s="67">
        <f t="shared" si="2"/>
        <v>1720046.4866666661</v>
      </c>
      <c r="P21" s="7">
        <f t="shared" si="4"/>
        <v>25800697.299999993</v>
      </c>
      <c r="Q21" s="164">
        <f>Q20+N21+1</f>
        <v>1968834.4500000002</v>
      </c>
      <c r="R21" s="29">
        <f t="shared" si="3"/>
        <v>1422.9880913949564</v>
      </c>
      <c r="S21" s="5">
        <f>SUM($Q$7:$Q21)/T21-1</f>
        <v>1983574.2499999995</v>
      </c>
      <c r="T21" s="18">
        <v>15</v>
      </c>
      <c r="U21" s="4"/>
      <c r="V21" s="131"/>
      <c r="W21" s="105">
        <v>-1256741</v>
      </c>
      <c r="X21" s="167"/>
      <c r="Y21" s="156">
        <f>Y20-K21-L21</f>
        <v>-1256741</v>
      </c>
      <c r="Z21" s="217"/>
      <c r="AA21" s="92"/>
    </row>
    <row r="22" spans="2:31">
      <c r="B22" s="116">
        <v>43972</v>
      </c>
      <c r="C22" s="14" t="str">
        <f t="shared" si="0"/>
        <v/>
      </c>
      <c r="D22" s="87">
        <v>851</v>
      </c>
      <c r="E22" s="87">
        <v>3</v>
      </c>
      <c r="F22" s="23">
        <v>-259408</v>
      </c>
      <c r="G22" s="26">
        <f>D22+E22+F22-E21-F21</f>
        <v>7909</v>
      </c>
      <c r="H22" s="132">
        <v>-200</v>
      </c>
      <c r="I22" s="25">
        <v>2450</v>
      </c>
      <c r="J22" s="63">
        <v>-900</v>
      </c>
      <c r="K22" s="170">
        <f t="shared" si="8"/>
        <v>1350</v>
      </c>
      <c r="L22" s="171">
        <v>-45</v>
      </c>
      <c r="M22" s="153"/>
      <c r="N22" s="149">
        <f>L22+K22+G22+M22</f>
        <v>9214</v>
      </c>
      <c r="O22" s="67">
        <f t="shared" si="2"/>
        <v>1727459.3593749995</v>
      </c>
      <c r="P22" s="7">
        <f t="shared" si="4"/>
        <v>27639349.749999993</v>
      </c>
      <c r="Q22" s="164">
        <f>Q21+N22-1</f>
        <v>1978047.4500000002</v>
      </c>
      <c r="R22" s="29">
        <f t="shared" si="3"/>
        <v>1422.7395261666484</v>
      </c>
      <c r="S22" s="5">
        <f>SUM($Q$7:$Q22)/T22-2</f>
        <v>1983227.7624999995</v>
      </c>
      <c r="T22" s="18">
        <v>16</v>
      </c>
      <c r="U22" s="4"/>
      <c r="V22" s="131"/>
      <c r="W22" s="105">
        <v>-1258045</v>
      </c>
      <c r="X22" s="167"/>
      <c r="Y22" s="156">
        <f>Y21-K22-L22+1</f>
        <v>-1258045</v>
      </c>
      <c r="Z22" s="217"/>
      <c r="AA22" s="92"/>
    </row>
    <row r="23" spans="2:31">
      <c r="B23" s="116">
        <v>43973</v>
      </c>
      <c r="C23" s="14" t="str">
        <f t="shared" si="0"/>
        <v/>
      </c>
      <c r="D23" s="87"/>
      <c r="E23" s="87">
        <v>12</v>
      </c>
      <c r="F23" s="23">
        <v>-299631</v>
      </c>
      <c r="G23" s="26">
        <f t="shared" ref="G23" si="9">D23+E23+F23-E22-F22</f>
        <v>-40214</v>
      </c>
      <c r="H23" s="132">
        <v>-1200</v>
      </c>
      <c r="I23" s="25">
        <v>9600</v>
      </c>
      <c r="J23" s="63">
        <v>-900</v>
      </c>
      <c r="K23" s="170">
        <f t="shared" si="8"/>
        <v>7500</v>
      </c>
      <c r="L23" s="171">
        <v>23</v>
      </c>
      <c r="M23" s="153"/>
      <c r="N23" s="149">
        <f>L23+K23+G23+M23</f>
        <v>-32691</v>
      </c>
      <c r="O23" s="67">
        <f t="shared" si="2"/>
        <v>1732077.1294117642</v>
      </c>
      <c r="P23" s="7">
        <f t="shared" si="4"/>
        <v>29445311.199999992</v>
      </c>
      <c r="Q23" s="164">
        <f>Q22+N23</f>
        <v>1945356.4500000002</v>
      </c>
      <c r="R23" s="29">
        <f t="shared" si="3"/>
        <v>1421.1427386837654</v>
      </c>
      <c r="S23" s="5">
        <f>SUM($Q$7:$Q23)/T23</f>
        <v>1981001.9205882347</v>
      </c>
      <c r="T23" s="18">
        <v>17</v>
      </c>
      <c r="U23" s="27"/>
      <c r="V23" s="135"/>
      <c r="W23" s="105">
        <v>-1265569</v>
      </c>
      <c r="X23" s="167"/>
      <c r="Y23" s="156">
        <f>Y22-K23-L23-1</f>
        <v>-1265569</v>
      </c>
      <c r="Z23" s="217"/>
      <c r="AA23" s="92"/>
    </row>
    <row r="24" spans="2:31">
      <c r="B24" s="116">
        <v>43974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1736181.8138888883</v>
      </c>
      <c r="P24" s="7">
        <f t="shared" si="4"/>
        <v>31251272.649999991</v>
      </c>
      <c r="Q24" s="164">
        <f t="shared" si="5"/>
        <v>1945356.4500000002</v>
      </c>
      <c r="R24" s="29">
        <f t="shared" si="3"/>
        <v>1419.7220966796988</v>
      </c>
      <c r="S24" s="5">
        <f>SUM($Q$7:$Q24)/T24</f>
        <v>1979021.6166666662</v>
      </c>
      <c r="T24" s="18">
        <v>18</v>
      </c>
      <c r="U24" s="4"/>
      <c r="V24" s="135"/>
      <c r="W24" s="105">
        <v>-1265569</v>
      </c>
      <c r="X24" s="167"/>
      <c r="Y24" s="156">
        <f t="shared" si="7"/>
        <v>-1265569</v>
      </c>
      <c r="Z24" s="217"/>
      <c r="AA24" s="92"/>
      <c r="AD24" s="1"/>
      <c r="AE24" s="1"/>
    </row>
    <row r="25" spans="2:31">
      <c r="B25" s="116">
        <v>43975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1739854.4263157889</v>
      </c>
      <c r="P25" s="7">
        <f t="shared" si="4"/>
        <v>33057234.09999999</v>
      </c>
      <c r="Q25" s="164">
        <f t="shared" si="5"/>
        <v>1945356.4500000002</v>
      </c>
      <c r="R25" s="29">
        <f t="shared" si="3"/>
        <v>1418.4495611675263</v>
      </c>
      <c r="S25" s="5">
        <f>SUM($Q$7:$Q25)/T25-2</f>
        <v>1977247.7657894734</v>
      </c>
      <c r="T25" s="18">
        <v>19</v>
      </c>
      <c r="U25" s="4"/>
      <c r="V25" s="131"/>
      <c r="W25" s="105">
        <v>-1265569</v>
      </c>
      <c r="X25" s="167"/>
      <c r="Y25" s="156">
        <f t="shared" si="7"/>
        <v>-1265569</v>
      </c>
      <c r="Z25" s="217"/>
      <c r="AA25" s="92"/>
      <c r="AD25" s="1"/>
      <c r="AE25" s="1"/>
    </row>
    <row r="26" spans="2:31">
      <c r="B26" s="116">
        <v>43976</v>
      </c>
      <c r="C26" s="14" t="str">
        <f t="shared" si="0"/>
        <v/>
      </c>
      <c r="D26" s="87"/>
      <c r="E26" s="87">
        <v>37</v>
      </c>
      <c r="F26" s="23">
        <v>-295035</v>
      </c>
      <c r="G26" s="26">
        <f>D26+E26+F26-E23-F23</f>
        <v>4621</v>
      </c>
      <c r="H26" s="132">
        <v>300</v>
      </c>
      <c r="I26" s="25">
        <v>4100</v>
      </c>
      <c r="J26" s="63">
        <v>-1000</v>
      </c>
      <c r="K26" s="170">
        <f t="shared" si="8"/>
        <v>3400</v>
      </c>
      <c r="L26" s="171">
        <v>5</v>
      </c>
      <c r="M26" s="153"/>
      <c r="N26" s="149">
        <f t="shared" si="6"/>
        <v>8026</v>
      </c>
      <c r="O26" s="67">
        <f t="shared" si="2"/>
        <v>1743561.0274999994</v>
      </c>
      <c r="P26" s="7">
        <f t="shared" si="4"/>
        <v>34871220.54999999</v>
      </c>
      <c r="Q26" s="164">
        <f>Q25+N26-1</f>
        <v>1953381.4500000002</v>
      </c>
      <c r="R26" s="29">
        <f t="shared" si="3"/>
        <v>1417.5941389576383</v>
      </c>
      <c r="S26" s="5">
        <f>SUM($Q$7:$Q26)/T26-1</f>
        <v>1976055.35</v>
      </c>
      <c r="T26" s="18">
        <v>20</v>
      </c>
      <c r="U26" s="138">
        <f>B26</f>
        <v>43976</v>
      </c>
      <c r="V26" s="131" t="s">
        <v>331</v>
      </c>
      <c r="W26" s="105">
        <v>-1268976</v>
      </c>
      <c r="X26" s="167">
        <f>AVERAGE(W26:W34)</f>
        <v>-1270740.2222222222</v>
      </c>
      <c r="Y26" s="156">
        <f>Y25-K26-L26+2</f>
        <v>-1268972</v>
      </c>
      <c r="Z26" s="217">
        <f>AVERAGE(Y26:Y34)</f>
        <v>-1270744.2222222222</v>
      </c>
      <c r="AC26" s="92"/>
      <c r="AD26" s="1"/>
      <c r="AE26" s="1"/>
    </row>
    <row r="27" spans="2:31">
      <c r="B27" s="116">
        <v>43977</v>
      </c>
      <c r="C27" s="14" t="str">
        <f t="shared" si="0"/>
        <v/>
      </c>
      <c r="D27" s="87"/>
      <c r="E27" s="87">
        <v>167</v>
      </c>
      <c r="F27" s="23">
        <v>-299949</v>
      </c>
      <c r="G27" s="26">
        <f>D27+E27+F27-E26-F26</f>
        <v>-4784</v>
      </c>
      <c r="H27" s="132">
        <v>-22700</v>
      </c>
      <c r="I27" s="25">
        <v>-700</v>
      </c>
      <c r="J27" s="63">
        <v>-1000</v>
      </c>
      <c r="K27" s="170">
        <f t="shared" si="8"/>
        <v>-24400</v>
      </c>
      <c r="L27" s="171">
        <v>-10</v>
      </c>
      <c r="M27" s="153"/>
      <c r="N27" s="149">
        <f>L27+K27+G27+M27</f>
        <v>-29194</v>
      </c>
      <c r="O27" s="67">
        <f t="shared" si="2"/>
        <v>1745524.4761904757</v>
      </c>
      <c r="P27" s="7">
        <f t="shared" si="4"/>
        <v>36656013.999999993</v>
      </c>
      <c r="Q27" s="164">
        <f>Q26+N27+2-1</f>
        <v>1924188.4500000002</v>
      </c>
      <c r="R27" s="29">
        <f t="shared" si="3"/>
        <v>1415.8222676566593</v>
      </c>
      <c r="S27" s="5">
        <f>SUM($Q$7:$Q27)/T27-1</f>
        <v>1973585.4500000002</v>
      </c>
      <c r="T27" s="18">
        <v>21</v>
      </c>
      <c r="U27" s="138">
        <f>B28+6</f>
        <v>43984</v>
      </c>
      <c r="V27" s="159">
        <v>1734.2</v>
      </c>
      <c r="W27" s="105">
        <v>-1244558</v>
      </c>
      <c r="X27" s="167"/>
      <c r="Y27" s="156">
        <f>Y26-K27-L27-1</f>
        <v>-1244563</v>
      </c>
      <c r="Z27" s="217"/>
      <c r="AA27" s="92"/>
      <c r="AD27" s="1"/>
      <c r="AE27" s="1"/>
    </row>
    <row r="28" spans="2:31">
      <c r="B28" s="116">
        <v>43978</v>
      </c>
      <c r="C28" s="14" t="str">
        <f t="shared" si="0"/>
        <v/>
      </c>
      <c r="D28" s="87">
        <f>-178+451+18540</f>
        <v>18813</v>
      </c>
      <c r="E28" s="87">
        <v>30</v>
      </c>
      <c r="F28" s="23">
        <v>-306929</v>
      </c>
      <c r="G28" s="26">
        <f>D28+E28+F28-E27-F27</f>
        <v>11696</v>
      </c>
      <c r="H28" s="132">
        <v>300</v>
      </c>
      <c r="I28" s="25">
        <v>2900</v>
      </c>
      <c r="J28" s="25">
        <v>-1000</v>
      </c>
      <c r="K28" s="170">
        <f t="shared" si="8"/>
        <v>2200</v>
      </c>
      <c r="L28" s="171">
        <v>21</v>
      </c>
      <c r="M28" s="153"/>
      <c r="N28" s="149">
        <f>L28+K28+G28+M28</f>
        <v>13917</v>
      </c>
      <c r="O28" s="67">
        <f t="shared" si="2"/>
        <v>1747941.9749999999</v>
      </c>
      <c r="P28" s="7">
        <f t="shared" si="4"/>
        <v>38454723.449999996</v>
      </c>
      <c r="Q28" s="164">
        <f>Q27+N28-1</f>
        <v>1938104.4500000002</v>
      </c>
      <c r="R28" s="29">
        <f t="shared" si="3"/>
        <v>1414.6652547208882</v>
      </c>
      <c r="S28" s="5">
        <f>SUM($Q$7:$Q28)/T28-1</f>
        <v>1971972.6318181821</v>
      </c>
      <c r="T28" s="18">
        <v>22</v>
      </c>
      <c r="U28" s="4"/>
      <c r="V28" s="131"/>
      <c r="W28" s="105">
        <v>-1246779</v>
      </c>
      <c r="X28" s="167"/>
      <c r="Y28" s="156">
        <f>Y27-K28-L28</f>
        <v>-1246784</v>
      </c>
      <c r="Z28" s="217"/>
      <c r="AA28" s="92"/>
      <c r="AD28" s="1"/>
      <c r="AE28" s="1"/>
    </row>
    <row r="29" spans="2:31">
      <c r="B29" s="116">
        <v>43979</v>
      </c>
      <c r="C29" s="14" t="str">
        <f t="shared" si="0"/>
        <v/>
      </c>
      <c r="D29" s="87">
        <f>-808+568</f>
        <v>-240</v>
      </c>
      <c r="E29" s="87">
        <v>35</v>
      </c>
      <c r="F29" s="23">
        <v>-307416</v>
      </c>
      <c r="G29" s="26">
        <f>D29+E29+F29-E28-F28</f>
        <v>-722</v>
      </c>
      <c r="H29" s="132">
        <v>300</v>
      </c>
      <c r="I29" s="25">
        <v>3600</v>
      </c>
      <c r="J29" s="25">
        <v>-1000</v>
      </c>
      <c r="K29" s="170">
        <f t="shared" si="8"/>
        <v>2900</v>
      </c>
      <c r="L29" s="171">
        <v>-12</v>
      </c>
      <c r="M29" s="153"/>
      <c r="N29" s="149">
        <f>L29+K29+G29+M29</f>
        <v>2166</v>
      </c>
      <c r="O29" s="67">
        <f t="shared" si="2"/>
        <v>1750243.5608695652</v>
      </c>
      <c r="P29" s="7">
        <f t="shared" si="4"/>
        <v>40255601.899999999</v>
      </c>
      <c r="Q29" s="164">
        <f>Q28+N29+3</f>
        <v>1940273.4500000002</v>
      </c>
      <c r="R29" s="29">
        <f t="shared" si="3"/>
        <v>1413.6765042099637</v>
      </c>
      <c r="S29" s="5">
        <f>SUM($Q$7:$Q29)/T29-1</f>
        <v>1970594.3630434787</v>
      </c>
      <c r="T29" s="18">
        <v>23</v>
      </c>
      <c r="U29" s="4"/>
      <c r="V29" s="131"/>
      <c r="W29" s="105">
        <v>-1249669</v>
      </c>
      <c r="X29" s="167"/>
      <c r="Y29" s="156">
        <f>Y28-K29-L29-2</f>
        <v>-1249674</v>
      </c>
      <c r="Z29" s="217"/>
      <c r="AA29" s="92"/>
      <c r="AD29" s="1"/>
      <c r="AE29" s="1"/>
    </row>
    <row r="30" spans="2:31">
      <c r="B30" s="116">
        <v>43980</v>
      </c>
      <c r="C30" s="14" t="str">
        <f t="shared" si="0"/>
        <v/>
      </c>
      <c r="D30" s="87"/>
      <c r="E30" s="87">
        <v>50</v>
      </c>
      <c r="F30" s="23">
        <v>-322357</v>
      </c>
      <c r="G30" s="26">
        <f>D30+E30+F30-E29-F29</f>
        <v>-14926</v>
      </c>
      <c r="H30" s="132">
        <v>300</v>
      </c>
      <c r="I30" s="25">
        <v>27400</v>
      </c>
      <c r="J30" s="25">
        <v>-1100</v>
      </c>
      <c r="K30" s="170">
        <f t="shared" si="8"/>
        <v>26600</v>
      </c>
      <c r="L30" s="171">
        <v>25</v>
      </c>
      <c r="M30" s="153"/>
      <c r="N30" s="149">
        <f t="shared" si="6"/>
        <v>11699</v>
      </c>
      <c r="O30" s="67">
        <f t="shared" si="2"/>
        <v>1752840.8062500001</v>
      </c>
      <c r="P30" s="7">
        <f t="shared" si="4"/>
        <v>42068179.350000001</v>
      </c>
      <c r="Q30" s="164">
        <f>Q29+N30</f>
        <v>1951972.4500000002</v>
      </c>
      <c r="R30" s="29">
        <f t="shared" si="3"/>
        <v>1413.1248669847082</v>
      </c>
      <c r="S30" s="5">
        <f>SUM($Q$7:$Q30)/T30+6</f>
        <v>1969825.4083333339</v>
      </c>
      <c r="T30" s="18">
        <v>24</v>
      </c>
      <c r="U30" s="4"/>
      <c r="V30" s="131"/>
      <c r="W30" s="105">
        <v>-1276294</v>
      </c>
      <c r="X30" s="167"/>
      <c r="Y30" s="156">
        <f>Y29-K30-L30</f>
        <v>-1276299</v>
      </c>
      <c r="Z30" s="217"/>
      <c r="AA30" s="92"/>
      <c r="AD30" s="1"/>
      <c r="AE30" s="1"/>
    </row>
    <row r="31" spans="2:31">
      <c r="B31" s="116">
        <v>43981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1755230.2720000001</v>
      </c>
      <c r="P31" s="7">
        <f t="shared" si="4"/>
        <v>43880756.800000004</v>
      </c>
      <c r="Q31" s="164">
        <f t="shared" si="5"/>
        <v>1951972.4500000002</v>
      </c>
      <c r="R31" s="29">
        <f t="shared" si="3"/>
        <v>1412.609871229241</v>
      </c>
      <c r="S31" s="5">
        <f>SUM($Q$7:$Q31)/T31+2</f>
        <v>1969107.5300000005</v>
      </c>
      <c r="T31" s="18">
        <v>25</v>
      </c>
      <c r="U31" s="4"/>
      <c r="V31" s="137"/>
      <c r="W31" s="105">
        <v>-1276294</v>
      </c>
      <c r="X31" s="167"/>
      <c r="Y31" s="156">
        <f t="shared" si="7"/>
        <v>-1276299</v>
      </c>
      <c r="Z31" s="217"/>
      <c r="AA31" s="92"/>
      <c r="AB31" s="92"/>
      <c r="AD31" s="1"/>
      <c r="AE31" s="1"/>
    </row>
    <row r="32" spans="2:31">
      <c r="B32" s="116">
        <v>43982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1757435.932692308</v>
      </c>
      <c r="P32" s="7">
        <f t="shared" si="4"/>
        <v>45693334.250000007</v>
      </c>
      <c r="Q32" s="164">
        <f t="shared" si="5"/>
        <v>1951972.4500000002</v>
      </c>
      <c r="R32" s="29">
        <f t="shared" si="3"/>
        <v>1412.1314002543966</v>
      </c>
      <c r="S32" s="5">
        <f>SUM($Q$7:$Q32)/T32-6</f>
        <v>1968440.5653846161</v>
      </c>
      <c r="T32" s="18">
        <v>26</v>
      </c>
      <c r="U32" s="27"/>
      <c r="V32" s="137"/>
      <c r="W32" s="105">
        <v>-1276294</v>
      </c>
      <c r="X32" s="167"/>
      <c r="Y32" s="156">
        <f t="shared" si="7"/>
        <v>-1276299</v>
      </c>
      <c r="Z32" s="217"/>
      <c r="AD32" s="1"/>
      <c r="AE32" s="1"/>
    </row>
    <row r="33" spans="2:31">
      <c r="B33" s="116">
        <v>43983</v>
      </c>
      <c r="C33" s="14" t="str">
        <f t="shared" si="0"/>
        <v/>
      </c>
      <c r="D33" s="87"/>
      <c r="E33" s="87">
        <v>11</v>
      </c>
      <c r="F33" s="23">
        <v>-332087</v>
      </c>
      <c r="G33" s="26">
        <f>D33+E33+F33-E30-F30</f>
        <v>-9769</v>
      </c>
      <c r="H33" s="132">
        <v>8300</v>
      </c>
      <c r="I33" s="25">
        <v>9700</v>
      </c>
      <c r="J33" s="25">
        <v>-700</v>
      </c>
      <c r="K33" s="170">
        <f t="shared" si="8"/>
        <v>17300</v>
      </c>
      <c r="L33" s="171">
        <v>-33</v>
      </c>
      <c r="M33" s="153"/>
      <c r="N33" s="149">
        <f t="shared" si="6"/>
        <v>7498</v>
      </c>
      <c r="O33" s="67">
        <f t="shared" si="2"/>
        <v>1759755.9148148152</v>
      </c>
      <c r="P33" s="7">
        <f t="shared" si="4"/>
        <v>47513409.70000001</v>
      </c>
      <c r="Q33" s="164">
        <f>Q32+N33</f>
        <v>1959470.4500000002</v>
      </c>
      <c r="R33" s="29">
        <f t="shared" si="3"/>
        <v>1411.8964931788569</v>
      </c>
      <c r="S33" s="5">
        <f>SUM($Q$7:$Q33)/T33-1</f>
        <v>1968113.1166666674</v>
      </c>
      <c r="T33" s="18">
        <v>27</v>
      </c>
      <c r="U33" s="138">
        <f>B33</f>
        <v>43983</v>
      </c>
      <c r="V33" s="131" t="s">
        <v>332</v>
      </c>
      <c r="W33" s="105">
        <v>-1293561</v>
      </c>
      <c r="X33" s="167">
        <f>AVERAGE(W33:W41)</f>
        <v>-1310174.888888889</v>
      </c>
      <c r="Y33" s="156">
        <f>Y32-K33-L33</f>
        <v>-1293566</v>
      </c>
      <c r="Z33" s="217">
        <f>AVERAGE(Y33:Y41)</f>
        <v>-1306179.888888889</v>
      </c>
      <c r="AD33" s="1"/>
      <c r="AE33" s="1"/>
    </row>
    <row r="34" spans="2:31">
      <c r="B34" s="116">
        <v>43984</v>
      </c>
      <c r="C34" s="14" t="str">
        <f t="shared" si="0"/>
        <v/>
      </c>
      <c r="D34" s="87"/>
      <c r="E34" s="87">
        <v>0</v>
      </c>
      <c r="F34" s="23">
        <v>-347239</v>
      </c>
      <c r="G34" s="26">
        <f>D34+E34+F34-E33-F33</f>
        <v>-15163</v>
      </c>
      <c r="H34" s="132">
        <v>300</v>
      </c>
      <c r="I34" s="25">
        <v>11100</v>
      </c>
      <c r="J34" s="25">
        <v>-700</v>
      </c>
      <c r="K34" s="170">
        <f t="shared" si="8"/>
        <v>10700</v>
      </c>
      <c r="L34" s="171">
        <v>-24</v>
      </c>
      <c r="M34" s="153"/>
      <c r="N34" s="149">
        <f>L34+K34+G34+M34</f>
        <v>-4487</v>
      </c>
      <c r="O34" s="67">
        <f t="shared" si="2"/>
        <v>1761749.8982142862</v>
      </c>
      <c r="P34" s="7">
        <f t="shared" si="4"/>
        <v>49328997.150000013</v>
      </c>
      <c r="Q34" s="164">
        <f>Q33+N34-1</f>
        <v>1954982.4500000002</v>
      </c>
      <c r="R34" s="29">
        <f t="shared" si="3"/>
        <v>1411.5607651432474</v>
      </c>
      <c r="S34" s="5">
        <f>SUM($Q$7:$Q34)/T34</f>
        <v>1967645.1285714295</v>
      </c>
      <c r="T34" s="18">
        <v>28</v>
      </c>
      <c r="U34" s="138">
        <f>B33+8</f>
        <v>43991</v>
      </c>
      <c r="V34" s="131">
        <v>1730.1</v>
      </c>
      <c r="W34" s="105">
        <v>-1304237</v>
      </c>
      <c r="X34" s="167"/>
      <c r="Y34" s="156">
        <f>Y33-K34-L34</f>
        <v>-1304242</v>
      </c>
      <c r="Z34" s="217"/>
      <c r="AA34" s="92"/>
      <c r="AD34" s="1"/>
      <c r="AE34" s="1"/>
    </row>
    <row r="35" spans="2:31">
      <c r="B35" s="116">
        <v>43985</v>
      </c>
      <c r="C35" s="14" t="str">
        <f t="shared" si="0"/>
        <v/>
      </c>
      <c r="D35" s="87">
        <f>-451+389+14481</f>
        <v>14419</v>
      </c>
      <c r="E35" s="87">
        <v>0</v>
      </c>
      <c r="F35" s="23">
        <v>-348718</v>
      </c>
      <c r="G35" s="26">
        <f>D35+E35+F35-E34-F34</f>
        <v>12940</v>
      </c>
      <c r="H35" s="132">
        <v>300</v>
      </c>
      <c r="I35" s="25">
        <v>200</v>
      </c>
      <c r="J35" s="25">
        <v>-700</v>
      </c>
      <c r="K35" s="170">
        <f t="shared" si="8"/>
        <v>-200</v>
      </c>
      <c r="L35" s="171">
        <v>49</v>
      </c>
      <c r="M35" s="153"/>
      <c r="N35" s="149">
        <f t="shared" si="6"/>
        <v>12789</v>
      </c>
      <c r="O35" s="67">
        <f t="shared" si="2"/>
        <v>1764047.4000000006</v>
      </c>
      <c r="P35" s="7">
        <f t="shared" si="4"/>
        <v>51157374.600000016</v>
      </c>
      <c r="Q35" s="164">
        <f>Q34+N35+1</f>
        <v>1967772.4500000002</v>
      </c>
      <c r="R35" s="29">
        <f t="shared" si="3"/>
        <v>1411.5639147498246</v>
      </c>
      <c r="S35" s="5">
        <f>SUM($Q$7:$Q35)/T35</f>
        <v>1967649.5189655181</v>
      </c>
      <c r="T35" s="18">
        <v>29</v>
      </c>
      <c r="U35" s="4"/>
      <c r="V35" s="131"/>
      <c r="W35" s="105">
        <v>-1340087</v>
      </c>
      <c r="X35" s="167"/>
      <c r="Y35" s="156">
        <f>Y34-K35-L35-1</f>
        <v>-1304092</v>
      </c>
      <c r="Z35" s="217"/>
      <c r="AA35" s="92"/>
      <c r="AD35" s="1"/>
      <c r="AE35" s="1"/>
    </row>
    <row r="36" spans="2:31">
      <c r="B36" s="116">
        <v>43986</v>
      </c>
      <c r="C36" s="14" t="str">
        <f t="shared" si="0"/>
        <v/>
      </c>
      <c r="D36" s="87"/>
      <c r="E36" s="87">
        <v>8</v>
      </c>
      <c r="F36" s="23">
        <v>-343444</v>
      </c>
      <c r="G36" s="26">
        <f>D36+E36+F36-E35-F35</f>
        <v>5282</v>
      </c>
      <c r="H36" s="132">
        <v>300</v>
      </c>
      <c r="I36" s="25">
        <v>-2300</v>
      </c>
      <c r="J36" s="25">
        <v>-700</v>
      </c>
      <c r="K36" s="170">
        <f t="shared" si="8"/>
        <v>-2700</v>
      </c>
      <c r="L36" s="171">
        <v>-12</v>
      </c>
      <c r="M36" s="153"/>
      <c r="N36" s="149">
        <f t="shared" si="6"/>
        <v>2570</v>
      </c>
      <c r="O36" s="67">
        <f t="shared" si="2"/>
        <v>1766277.3016666672</v>
      </c>
      <c r="P36" s="7">
        <f t="shared" si="4"/>
        <v>52988319.050000019</v>
      </c>
      <c r="Q36" s="164">
        <f>Q35+N36-3</f>
        <v>1970339.4500000002</v>
      </c>
      <c r="R36" s="29">
        <f t="shared" si="3"/>
        <v>1411.6282386981845</v>
      </c>
      <c r="S36" s="5">
        <f>SUM($Q$7:$Q36)/T36</f>
        <v>1967739.1833333343</v>
      </c>
      <c r="T36" s="18">
        <v>30</v>
      </c>
      <c r="U36" s="4"/>
      <c r="V36" s="136"/>
      <c r="W36" s="105">
        <v>-1301372</v>
      </c>
      <c r="X36" s="167"/>
      <c r="Y36" s="156">
        <f>Y35-K36-L36+3</f>
        <v>-1301377</v>
      </c>
      <c r="Z36" s="217"/>
      <c r="AD36" s="1"/>
      <c r="AE36" s="1"/>
    </row>
    <row r="37" spans="2:31">
      <c r="B37" s="116">
        <v>43987</v>
      </c>
      <c r="C37" s="14" t="str">
        <f t="shared" si="0"/>
        <v/>
      </c>
      <c r="D37" s="87"/>
      <c r="E37" s="87">
        <v>9</v>
      </c>
      <c r="F37" s="23">
        <v>-362046</v>
      </c>
      <c r="G37" s="26">
        <f>D37+E37+F37-E36-F36</f>
        <v>-18601</v>
      </c>
      <c r="H37" s="132">
        <v>300</v>
      </c>
      <c r="I37" s="25">
        <v>9900</v>
      </c>
      <c r="J37" s="25">
        <v>-700</v>
      </c>
      <c r="K37" s="170">
        <f t="shared" si="8"/>
        <v>9500</v>
      </c>
      <c r="L37" s="171">
        <v>-41</v>
      </c>
      <c r="M37" s="153"/>
      <c r="N37" s="149">
        <f t="shared" si="6"/>
        <v>-9142</v>
      </c>
      <c r="O37" s="67">
        <f t="shared" si="2"/>
        <v>1768068.338709678</v>
      </c>
      <c r="P37" s="7">
        <f t="shared" si="4"/>
        <v>54810118.500000022</v>
      </c>
      <c r="Q37" s="164">
        <f>Q36+N37-3</f>
        <v>1961194.4500000002</v>
      </c>
      <c r="R37" s="29">
        <f t="shared" si="3"/>
        <v>1411.4775012756747</v>
      </c>
      <c r="S37" s="5">
        <f>SUM($Q$7:$Q37)/T37+1</f>
        <v>1967529.0629032268</v>
      </c>
      <c r="T37" s="18">
        <v>31</v>
      </c>
      <c r="U37" s="27"/>
      <c r="V37" s="137"/>
      <c r="W37" s="105">
        <v>-1310828</v>
      </c>
      <c r="X37" s="167"/>
      <c r="Y37" s="156">
        <f>Y36-K37-L37+3</f>
        <v>-1310833</v>
      </c>
      <c r="Z37" s="217"/>
      <c r="AA37" s="92"/>
      <c r="AD37" s="1"/>
      <c r="AE37" s="1"/>
    </row>
    <row r="38" spans="2:31">
      <c r="B38" s="116">
        <v>43988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1769747.4359375008</v>
      </c>
      <c r="P38" s="7">
        <f t="shared" si="4"/>
        <v>56631917.950000025</v>
      </c>
      <c r="Q38" s="164">
        <f>Q37+N38</f>
        <v>1961194.4500000002</v>
      </c>
      <c r="R38" s="29">
        <f t="shared" si="3"/>
        <v>1411.3347950069954</v>
      </c>
      <c r="S38" s="5">
        <f>SUM($Q$7:$Q38)/T38</f>
        <v>1967330.1375000011</v>
      </c>
      <c r="T38" s="18">
        <v>32</v>
      </c>
      <c r="U38" s="27"/>
      <c r="V38" s="137"/>
      <c r="W38" s="105">
        <v>-1310828</v>
      </c>
      <c r="X38" s="167"/>
      <c r="Y38" s="156">
        <f t="shared" si="7"/>
        <v>-1310833</v>
      </c>
      <c r="Z38" s="217"/>
      <c r="AD38" s="1"/>
      <c r="AE38" s="1"/>
    </row>
    <row r="39" spans="2:31">
      <c r="B39" s="116">
        <v>43989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1771324.7696969705</v>
      </c>
      <c r="P39" s="7">
        <f t="shared" si="4"/>
        <v>58453717.400000028</v>
      </c>
      <c r="Q39" s="164">
        <f>Q38+N39</f>
        <v>1961194.4500000002</v>
      </c>
      <c r="R39" s="29">
        <f t="shared" si="3"/>
        <v>1411.2006941251541</v>
      </c>
      <c r="S39" s="5">
        <f>SUM($Q$7:$Q39)/T39-1</f>
        <v>1967143.2075757587</v>
      </c>
      <c r="T39" s="18">
        <v>33</v>
      </c>
      <c r="U39" s="27"/>
      <c r="V39" s="137"/>
      <c r="W39" s="105">
        <v>-1310828</v>
      </c>
      <c r="X39" s="167"/>
      <c r="Y39" s="156">
        <f t="shared" si="7"/>
        <v>-1310833</v>
      </c>
      <c r="Z39" s="217"/>
      <c r="AD39" s="1"/>
      <c r="AE39" s="1"/>
    </row>
    <row r="40" spans="2:31">
      <c r="B40" s="116">
        <v>43990</v>
      </c>
      <c r="C40" s="14" t="str">
        <f t="shared" si="0"/>
        <v/>
      </c>
      <c r="D40" s="87"/>
      <c r="E40" s="87">
        <v>9</v>
      </c>
      <c r="F40" s="23">
        <v>-363773</v>
      </c>
      <c r="G40" s="26">
        <f>D40+E40+F40-E37-F37</f>
        <v>-1727</v>
      </c>
      <c r="H40" s="132">
        <v>-13700</v>
      </c>
      <c r="I40" s="25">
        <v>9600</v>
      </c>
      <c r="J40" s="25">
        <v>-400</v>
      </c>
      <c r="K40" s="170">
        <f t="shared" si="8"/>
        <v>-4500</v>
      </c>
      <c r="L40" s="171">
        <v>15</v>
      </c>
      <c r="M40" s="153"/>
      <c r="N40" s="149">
        <f t="shared" si="6"/>
        <v>-6212</v>
      </c>
      <c r="O40" s="67">
        <f t="shared" si="2"/>
        <v>1772626.5838235302</v>
      </c>
      <c r="P40" s="7">
        <f t="shared" si="4"/>
        <v>60269303.850000031</v>
      </c>
      <c r="Q40" s="164">
        <f>Q39+N40-1</f>
        <v>1954981.4500000002</v>
      </c>
      <c r="R40" s="29">
        <f t="shared" si="3"/>
        <v>1410.9447823894443</v>
      </c>
      <c r="S40" s="5">
        <f>SUM($Q$7:$Q40)/T40</f>
        <v>1966786.4794117659</v>
      </c>
      <c r="T40" s="18">
        <v>34</v>
      </c>
      <c r="U40" s="138"/>
      <c r="V40" s="131"/>
      <c r="W40" s="105">
        <v>-1306342</v>
      </c>
      <c r="X40" s="167"/>
      <c r="Y40" s="156">
        <f>Y39-K40-L40+1</f>
        <v>-1306347</v>
      </c>
      <c r="Z40" s="217"/>
      <c r="AD40" s="1"/>
      <c r="AE40" s="1"/>
    </row>
    <row r="41" spans="2:31" ht="12.75" thickBot="1">
      <c r="B41" s="220">
        <v>43991</v>
      </c>
      <c r="C41" s="221" t="str">
        <f t="shared" si="0"/>
        <v/>
      </c>
      <c r="D41" s="222"/>
      <c r="E41" s="222">
        <v>14</v>
      </c>
      <c r="F41" s="223">
        <v>-368081</v>
      </c>
      <c r="G41" s="224">
        <f>D41+E41+F41-E40-F40</f>
        <v>-4303</v>
      </c>
      <c r="H41" s="225">
        <v>-7700</v>
      </c>
      <c r="I41" s="226">
        <v>15200</v>
      </c>
      <c r="J41" s="226">
        <v>-400</v>
      </c>
      <c r="K41" s="173">
        <f t="shared" si="8"/>
        <v>7100</v>
      </c>
      <c r="L41" s="174">
        <v>50</v>
      </c>
      <c r="M41" s="229"/>
      <c r="N41" s="230">
        <f t="shared" si="6"/>
        <v>2847</v>
      </c>
      <c r="O41" s="231">
        <f t="shared" si="2"/>
        <v>1773935.3228571438</v>
      </c>
      <c r="P41" s="232">
        <f t="shared" si="4"/>
        <v>62087736.300000034</v>
      </c>
      <c r="Q41" s="233">
        <f>Q40+N41-1</f>
        <v>1957827.4500000002</v>
      </c>
      <c r="R41" s="234">
        <f t="shared" si="3"/>
        <v>1410.7611515067674</v>
      </c>
      <c r="S41" s="235">
        <f>SUM($Q$7:$Q41)/T41</f>
        <v>1966530.5071428583</v>
      </c>
      <c r="T41" s="236">
        <v>35</v>
      </c>
      <c r="U41" s="237"/>
      <c r="V41" s="244"/>
      <c r="W41" s="239">
        <v>-1313491</v>
      </c>
      <c r="X41" s="240"/>
      <c r="Y41" s="241">
        <f t="shared" ref="Y41" si="10">Y40-K41-L41+1</f>
        <v>-1313496</v>
      </c>
      <c r="Z41" s="242"/>
      <c r="AD41" s="1"/>
      <c r="AE41" s="1"/>
    </row>
    <row r="42" spans="2:31">
      <c r="C42" s="175"/>
      <c r="D42" s="176"/>
      <c r="E42" s="176"/>
      <c r="F42" s="104"/>
      <c r="G42" s="177"/>
      <c r="H42" s="104"/>
      <c r="I42" s="104"/>
      <c r="J42" s="104"/>
      <c r="K42" s="178"/>
      <c r="L42" s="179"/>
      <c r="M42" s="12"/>
      <c r="N42" s="181"/>
      <c r="O42" s="181"/>
      <c r="P42" s="182"/>
      <c r="Q42" s="183"/>
      <c r="R42" s="184"/>
      <c r="S42" s="6"/>
      <c r="T42" s="182"/>
      <c r="U42" s="185"/>
      <c r="V42" s="243"/>
      <c r="W42" s="187"/>
      <c r="X42" s="188"/>
      <c r="Y42" s="181"/>
      <c r="Z42" s="188"/>
      <c r="AD42" s="1"/>
      <c r="AE42" s="1"/>
    </row>
    <row r="43" spans="2:31" ht="12.75" thickBot="1">
      <c r="B43" s="193"/>
      <c r="C43" s="175"/>
      <c r="D43" s="176"/>
      <c r="E43" s="176"/>
      <c r="F43" s="104"/>
      <c r="G43" s="177"/>
      <c r="H43" s="104"/>
      <c r="I43" s="104"/>
      <c r="J43" s="104"/>
      <c r="K43" s="178"/>
      <c r="L43" s="179"/>
      <c r="M43" s="12"/>
      <c r="N43" s="181"/>
      <c r="O43" s="181"/>
      <c r="P43" s="182"/>
      <c r="Q43" s="183"/>
      <c r="R43" s="184"/>
      <c r="S43" s="6"/>
      <c r="T43" s="182"/>
      <c r="U43" s="185"/>
      <c r="V43" s="243"/>
      <c r="W43" s="187"/>
      <c r="X43" s="188"/>
      <c r="Y43" s="181"/>
      <c r="Z43" s="188"/>
      <c r="AD43" s="1"/>
      <c r="AE43" s="1"/>
    </row>
    <row r="44" spans="2:31" ht="13.5" thickTop="1" thickBot="1">
      <c r="B44" s="193"/>
      <c r="C44" s="30"/>
      <c r="D44" s="141" t="s">
        <v>58</v>
      </c>
      <c r="E44" s="20"/>
      <c r="F44" s="21"/>
      <c r="G44" s="22"/>
      <c r="H44" s="11"/>
      <c r="I44" s="11"/>
      <c r="J44" s="11"/>
      <c r="K44" s="12"/>
      <c r="L44" s="11"/>
      <c r="M44" s="12"/>
      <c r="N44" s="4"/>
    </row>
    <row r="45" spans="2:31" ht="12.75" thickTop="1">
      <c r="D45" s="27" t="s">
        <v>59</v>
      </c>
      <c r="E45" s="139"/>
      <c r="F45" s="142"/>
      <c r="G45" s="90">
        <f>'Apr 2020 '!Q55</f>
        <v>1842901.4500000002</v>
      </c>
      <c r="H45" s="11"/>
      <c r="I45" s="11"/>
      <c r="J45" s="11"/>
      <c r="K45" s="12"/>
      <c r="L45" s="12"/>
      <c r="M45" s="12"/>
      <c r="N45" s="4"/>
    </row>
    <row r="46" spans="2:31">
      <c r="D46" s="138" t="s">
        <v>4</v>
      </c>
      <c r="E46" s="139"/>
      <c r="F46" s="143"/>
      <c r="G46" s="91">
        <f>'Apr 2020 '!E55</f>
        <v>5</v>
      </c>
      <c r="H46" s="13"/>
      <c r="I46" s="13"/>
      <c r="J46" s="13"/>
      <c r="K46" s="12"/>
      <c r="L46" s="13"/>
      <c r="M46" s="13"/>
      <c r="N46" s="6"/>
    </row>
    <row r="47" spans="2:31">
      <c r="D47" s="138" t="s">
        <v>60</v>
      </c>
      <c r="E47" s="144"/>
      <c r="F47" s="143"/>
      <c r="G47" s="91">
        <f>'Apr 2020 '!F55</f>
        <v>-402119</v>
      </c>
      <c r="H47" s="13"/>
      <c r="I47" s="13"/>
      <c r="J47" s="13"/>
      <c r="K47" s="12"/>
      <c r="L47" s="13"/>
      <c r="M47" s="13"/>
      <c r="N47" s="6"/>
    </row>
    <row r="48" spans="2:31" ht="12.75" thickBot="1">
      <c r="D48" s="140" t="s">
        <v>46</v>
      </c>
      <c r="E48" s="145"/>
      <c r="F48" s="146"/>
      <c r="G48" s="158">
        <f>'Apr 2020 '!W55</f>
        <v>-1296163</v>
      </c>
      <c r="H48" s="13"/>
      <c r="I48" s="13"/>
      <c r="J48" s="13"/>
      <c r="K48" s="12"/>
      <c r="L48" s="13"/>
      <c r="M48" s="95"/>
      <c r="N48" s="6"/>
    </row>
    <row r="49" ht="12.75" thickTop="1"/>
    <row r="65511" spans="23:23">
      <c r="W65511" s="105"/>
    </row>
    <row r="65518" spans="23:23">
      <c r="W65518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B1:IU65525"/>
  <sheetViews>
    <sheetView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141193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43992</v>
      </c>
      <c r="C7" s="196" t="str">
        <f t="shared" ref="C7:C41" si="0">IF(OR(WEEKDAY(B7)=1,WEEKDAY(B7)=7),"F","")</f>
        <v/>
      </c>
      <c r="D7" s="197">
        <f>-389+439+13772</f>
        <v>13822</v>
      </c>
      <c r="E7" s="197">
        <v>16</v>
      </c>
      <c r="F7" s="198">
        <v>-236631</v>
      </c>
      <c r="G7" s="199">
        <f>D7+E7+F7-G53-G54</f>
        <v>145274</v>
      </c>
      <c r="H7" s="132">
        <v>300</v>
      </c>
      <c r="I7" s="63">
        <v>-17000</v>
      </c>
      <c r="J7" s="63">
        <v>-500</v>
      </c>
      <c r="K7" s="168">
        <f t="shared" ref="K7:K9" si="1">+H7+I7+J7</f>
        <v>-17200</v>
      </c>
      <c r="L7" s="169">
        <v>45</v>
      </c>
      <c r="M7" s="203"/>
      <c r="N7" s="204">
        <f>L7+K7+G7+M7</f>
        <v>128119</v>
      </c>
      <c r="O7" s="205">
        <f t="shared" ref="O7:O41" si="2">P7/T7</f>
        <v>1944748.4500000002</v>
      </c>
      <c r="P7" s="206">
        <f>(+$Q7-$Q$3)</f>
        <v>1944748.4500000002</v>
      </c>
      <c r="Q7" s="207">
        <f>G52+N7-5</f>
        <v>2085941.4500000002</v>
      </c>
      <c r="R7" s="208">
        <f t="shared" ref="R7:R48" si="3">$S7/$Q$3*100</f>
        <v>1477.3688851430313</v>
      </c>
      <c r="S7" s="209">
        <f>$Q7</f>
        <v>2085941.4500000002</v>
      </c>
      <c r="T7" s="210">
        <v>1</v>
      </c>
      <c r="U7" s="211">
        <f>B7</f>
        <v>43992</v>
      </c>
      <c r="V7" s="212" t="s">
        <v>333</v>
      </c>
      <c r="W7" s="213">
        <v>-1296336</v>
      </c>
      <c r="X7" s="214">
        <f>AVERAGE(W7:W15)</f>
        <v>-1287144</v>
      </c>
      <c r="Y7" s="215">
        <f>-L7-K7+'May 2020 '!Y41-5</f>
        <v>-1296346</v>
      </c>
      <c r="Z7" s="216">
        <f>AVERAGE(Y7:Y13)</f>
        <v>-1298121.857142857</v>
      </c>
      <c r="AA7" s="92"/>
    </row>
    <row r="8" spans="2:255">
      <c r="B8" s="116">
        <v>43993</v>
      </c>
      <c r="C8" s="14"/>
      <c r="D8" s="128"/>
      <c r="E8" s="128">
        <v>25</v>
      </c>
      <c r="F8" s="162">
        <v>-254005</v>
      </c>
      <c r="G8" s="26">
        <f>D8+E8+F8-E7-F7</f>
        <v>-17365</v>
      </c>
      <c r="H8" s="132">
        <v>300</v>
      </c>
      <c r="I8" s="63">
        <v>1300</v>
      </c>
      <c r="J8" s="63">
        <v>-500</v>
      </c>
      <c r="K8" s="170">
        <f t="shared" si="1"/>
        <v>1100</v>
      </c>
      <c r="L8" s="171">
        <v>20</v>
      </c>
      <c r="M8" s="153"/>
      <c r="N8" s="149">
        <f>L8+K8+G8+M8</f>
        <v>-16245</v>
      </c>
      <c r="O8" s="67">
        <f t="shared" si="2"/>
        <v>964251.72500000009</v>
      </c>
      <c r="P8" s="163">
        <f>(IF($Q8&lt;0,-$Q$3+P6,($Q8-$Q$3)+P6))</f>
        <v>1928503.4500000002</v>
      </c>
      <c r="Q8" s="164">
        <f>Q7+N8</f>
        <v>2069696.4500000002</v>
      </c>
      <c r="R8" s="29">
        <f t="shared" si="3"/>
        <v>1471.6161211958101</v>
      </c>
      <c r="S8" s="165">
        <f>SUM($Q$7:$Q8)/T8</f>
        <v>2077818.9500000002</v>
      </c>
      <c r="T8" s="166">
        <v>2</v>
      </c>
      <c r="U8" s="138">
        <f>B7+6</f>
        <v>43998</v>
      </c>
      <c r="V8" s="131">
        <v>1756.3</v>
      </c>
      <c r="W8" s="105">
        <v>-1297456</v>
      </c>
      <c r="X8" s="167"/>
      <c r="Y8" s="156">
        <f>Y7-K8-L8</f>
        <v>-1297466</v>
      </c>
      <c r="Z8" s="217"/>
      <c r="AA8" s="92"/>
    </row>
    <row r="9" spans="2:255">
      <c r="B9" s="116">
        <v>43994</v>
      </c>
      <c r="C9" s="14" t="str">
        <f t="shared" si="0"/>
        <v/>
      </c>
      <c r="D9" s="87"/>
      <c r="E9" s="87">
        <v>27</v>
      </c>
      <c r="F9" s="23">
        <v>-246535</v>
      </c>
      <c r="G9" s="26">
        <f>D9+E9+F9-E8-F8</f>
        <v>7472</v>
      </c>
      <c r="H9" s="132">
        <v>1100</v>
      </c>
      <c r="I9" s="63">
        <v>2100</v>
      </c>
      <c r="J9" s="63">
        <v>-500</v>
      </c>
      <c r="K9" s="170">
        <f t="shared" si="1"/>
        <v>2700</v>
      </c>
      <c r="L9" s="171">
        <v>-58</v>
      </c>
      <c r="M9" s="153"/>
      <c r="N9" s="149">
        <f>L9+K9+G9+M9</f>
        <v>10114</v>
      </c>
      <c r="O9" s="67">
        <f t="shared" si="2"/>
        <v>1294455.9666666668</v>
      </c>
      <c r="P9" s="7">
        <f>(IF($Q9&lt;0,-$Q$3+P7,($Q9-$Q$3)+P7))</f>
        <v>3883367.9000000004</v>
      </c>
      <c r="Q9" s="164">
        <f>Q8+N9+2</f>
        <v>2079812.4500000002</v>
      </c>
      <c r="R9" s="29">
        <f t="shared" si="3"/>
        <v>1472.0874618430094</v>
      </c>
      <c r="S9" s="5">
        <f>SUM($Q$7:$Q9)/T9+1</f>
        <v>2078484.4500000002</v>
      </c>
      <c r="T9" s="17">
        <v>3</v>
      </c>
      <c r="U9" s="4"/>
      <c r="V9" s="131"/>
      <c r="W9" s="105">
        <v>-1300849</v>
      </c>
      <c r="X9" s="167"/>
      <c r="Y9" s="156">
        <f>Y8-K9-L9-1-40</f>
        <v>-1300149</v>
      </c>
      <c r="Z9" s="217"/>
      <c r="AA9" s="92"/>
    </row>
    <row r="10" spans="2:255">
      <c r="B10" s="116">
        <v>43995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1455496.8375000001</v>
      </c>
      <c r="P10" s="7">
        <f t="shared" ref="P10:P48" si="4">(IF($Q10&lt;0,-$Q$3+P9,($Q10-$Q$3)+P9))</f>
        <v>5821987.3500000006</v>
      </c>
      <c r="Q10" s="164">
        <f t="shared" ref="Q10:Q32" si="5">Q9+N10</f>
        <v>2079812.4500000002</v>
      </c>
      <c r="R10" s="29">
        <f t="shared" si="3"/>
        <v>1472.3213615405864</v>
      </c>
      <c r="S10" s="5">
        <f>SUM($Q$7:$Q10)/T10-1</f>
        <v>2078814.7000000002</v>
      </c>
      <c r="T10" s="17">
        <v>4</v>
      </c>
      <c r="U10" s="27"/>
      <c r="V10" s="133"/>
      <c r="W10" s="105">
        <v>-1300849</v>
      </c>
      <c r="X10" s="167"/>
      <c r="Y10" s="156">
        <f>Y9-K10-L10</f>
        <v>-1300149</v>
      </c>
      <c r="Z10" s="217"/>
      <c r="AA10" s="92"/>
    </row>
    <row r="11" spans="2:255">
      <c r="B11" s="116">
        <v>43996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1" si="6">L11+K11+G11+M11</f>
        <v>0</v>
      </c>
      <c r="O11" s="67">
        <f t="shared" si="2"/>
        <v>1552121.36</v>
      </c>
      <c r="P11" s="7">
        <f t="shared" si="4"/>
        <v>7760606.8000000007</v>
      </c>
      <c r="Q11" s="164">
        <f t="shared" si="5"/>
        <v>2079812.4500000002</v>
      </c>
      <c r="R11" s="29">
        <f t="shared" si="3"/>
        <v>1472.4632595100325</v>
      </c>
      <c r="S11" s="5">
        <f>SUM($Q$7:$Q11)/T11</f>
        <v>2079015.05</v>
      </c>
      <c r="T11" s="17">
        <v>5</v>
      </c>
      <c r="U11" s="27"/>
      <c r="V11" s="134"/>
      <c r="W11" s="105">
        <v>-1300849</v>
      </c>
      <c r="X11" s="167"/>
      <c r="Y11" s="156">
        <f t="shared" ref="Y11:Y39" si="7">Y10-K11-L11</f>
        <v>-1300149</v>
      </c>
      <c r="Z11" s="217"/>
      <c r="AA11" s="92"/>
    </row>
    <row r="12" spans="2:255">
      <c r="B12" s="116">
        <v>43997</v>
      </c>
      <c r="C12" s="14" t="str">
        <f t="shared" si="0"/>
        <v/>
      </c>
      <c r="D12" s="87"/>
      <c r="E12" s="161">
        <v>7</v>
      </c>
      <c r="F12" s="23">
        <v>-244245</v>
      </c>
      <c r="G12" s="26">
        <f>D12+E12+F12-E9-F9</f>
        <v>2270</v>
      </c>
      <c r="H12" s="132">
        <v>9200</v>
      </c>
      <c r="I12" s="63">
        <v>1900</v>
      </c>
      <c r="J12" s="63">
        <v>-300</v>
      </c>
      <c r="K12" s="170">
        <f t="shared" ref="K12:K41" si="8">+H12+I12+J12</f>
        <v>10800</v>
      </c>
      <c r="L12" s="171">
        <v>-26</v>
      </c>
      <c r="M12" s="153"/>
      <c r="N12" s="149">
        <f t="shared" si="6"/>
        <v>13044</v>
      </c>
      <c r="O12" s="67">
        <f t="shared" si="2"/>
        <v>1618711.7083333333</v>
      </c>
      <c r="P12" s="7">
        <f t="shared" si="4"/>
        <v>9712270.25</v>
      </c>
      <c r="Q12" s="164">
        <f>Q11+N12</f>
        <v>2092856.4500000002</v>
      </c>
      <c r="R12" s="29">
        <f t="shared" si="3"/>
        <v>1474.097122378588</v>
      </c>
      <c r="S12" s="5">
        <f>SUM($Q$7:$Q12)/T12</f>
        <v>2081321.95</v>
      </c>
      <c r="T12" s="17">
        <v>6</v>
      </c>
      <c r="U12" s="138">
        <f>B12</f>
        <v>43997</v>
      </c>
      <c r="V12" s="131" t="s">
        <v>335</v>
      </c>
      <c r="W12" s="105">
        <v>-1311574</v>
      </c>
      <c r="X12" s="167">
        <f>AVERAGE(W12:W20)</f>
        <v>-1246146.3333333333</v>
      </c>
      <c r="Y12" s="156">
        <f>Y11-K12-L12-1+50</f>
        <v>-1310874</v>
      </c>
      <c r="Z12" s="217">
        <f>AVERAGE(Y12:Y20)</f>
        <v>-1245446.3333333333</v>
      </c>
      <c r="AA12" s="92"/>
    </row>
    <row r="13" spans="2:255">
      <c r="B13" s="116">
        <v>43998</v>
      </c>
      <c r="C13" s="14"/>
      <c r="D13" s="87"/>
      <c r="E13" s="87">
        <v>0</v>
      </c>
      <c r="F13" s="23">
        <v>-242979</v>
      </c>
      <c r="G13" s="26">
        <f>D13+E13+F13-E12-F12</f>
        <v>1259</v>
      </c>
      <c r="H13" s="132">
        <v>2800</v>
      </c>
      <c r="I13" s="63">
        <v>-31700</v>
      </c>
      <c r="J13" s="63">
        <v>-300</v>
      </c>
      <c r="K13" s="170">
        <f t="shared" si="8"/>
        <v>-29200</v>
      </c>
      <c r="L13" s="171">
        <v>47</v>
      </c>
      <c r="M13" s="153"/>
      <c r="N13" s="149">
        <f t="shared" si="6"/>
        <v>-27894</v>
      </c>
      <c r="O13" s="67">
        <f t="shared" si="2"/>
        <v>1662291.2428571428</v>
      </c>
      <c r="P13" s="7">
        <f>(IF($Q13&lt;0,-$Q$3+P12,($Q13-$Q$3)+P12))</f>
        <v>11636038.699999999</v>
      </c>
      <c r="Q13" s="164">
        <f>Q12+N13-1</f>
        <v>2064961.4500000002</v>
      </c>
      <c r="R13" s="29">
        <f t="shared" si="3"/>
        <v>1472.441789404776</v>
      </c>
      <c r="S13" s="5">
        <f>SUM($Q$7:$Q13)/T13</f>
        <v>2078984.7357142854</v>
      </c>
      <c r="T13" s="17">
        <v>7</v>
      </c>
      <c r="U13" s="138">
        <f>B14+6</f>
        <v>44005</v>
      </c>
      <c r="V13" s="249">
        <v>1834.6</v>
      </c>
      <c r="W13" s="105">
        <v>-1282420</v>
      </c>
      <c r="X13" s="167"/>
      <c r="Y13" s="156">
        <f>Y12-K13-L13+1</f>
        <v>-1281720</v>
      </c>
      <c r="Z13" s="217"/>
      <c r="AA13" s="92"/>
      <c r="AB13" s="92"/>
    </row>
    <row r="14" spans="2:255">
      <c r="B14" s="116">
        <v>43999</v>
      </c>
      <c r="C14" s="14"/>
      <c r="D14" s="87">
        <f>-439+471</f>
        <v>32</v>
      </c>
      <c r="E14" s="87">
        <v>5</v>
      </c>
      <c r="F14" s="23">
        <v>-242154</v>
      </c>
      <c r="G14" s="26">
        <f>D14+E14+F14-E13-F13</f>
        <v>862</v>
      </c>
      <c r="H14" s="132">
        <v>-200</v>
      </c>
      <c r="I14" s="63">
        <v>-25300</v>
      </c>
      <c r="J14" s="63">
        <v>-300</v>
      </c>
      <c r="K14" s="170">
        <f t="shared" si="8"/>
        <v>-25800</v>
      </c>
      <c r="L14" s="171">
        <v>34</v>
      </c>
      <c r="M14" s="154"/>
      <c r="N14" s="149">
        <f>L14+K14+G14+M14</f>
        <v>-24904</v>
      </c>
      <c r="O14" s="67">
        <f t="shared" si="2"/>
        <v>1691862.7687499998</v>
      </c>
      <c r="P14" s="7">
        <f t="shared" si="4"/>
        <v>13534902.149999999</v>
      </c>
      <c r="Q14" s="164">
        <f>Q13+N14-1</f>
        <v>2040056.4500000002</v>
      </c>
      <c r="R14" s="29">
        <f t="shared" si="3"/>
        <v>1468.9961258702624</v>
      </c>
      <c r="S14" s="5">
        <f>SUM($Q$7:$Q14)/T14+1</f>
        <v>2074119.6999999997</v>
      </c>
      <c r="T14" s="17">
        <v>8</v>
      </c>
      <c r="U14" s="4"/>
      <c r="V14" s="4"/>
      <c r="W14" s="105">
        <v>-1256654</v>
      </c>
      <c r="X14" s="167"/>
      <c r="Y14" s="156">
        <f>Y13-K14-L14</f>
        <v>-1255954</v>
      </c>
      <c r="Z14" s="217"/>
      <c r="AA14" s="92"/>
    </row>
    <row r="15" spans="2:255">
      <c r="B15" s="116">
        <v>44000</v>
      </c>
      <c r="C15" s="14" t="str">
        <f t="shared" si="0"/>
        <v/>
      </c>
      <c r="D15" s="87"/>
      <c r="E15" s="87">
        <v>0</v>
      </c>
      <c r="F15" s="23">
        <v>-264465</v>
      </c>
      <c r="G15" s="26">
        <f>D15+E15+F15-E14-F14</f>
        <v>-22316</v>
      </c>
      <c r="H15" s="132">
        <v>-6900</v>
      </c>
      <c r="I15" s="63">
        <v>-12100</v>
      </c>
      <c r="J15" s="63">
        <v>-300</v>
      </c>
      <c r="K15" s="170">
        <f t="shared" si="8"/>
        <v>-19300</v>
      </c>
      <c r="L15" s="172">
        <v>-48</v>
      </c>
      <c r="M15" s="153"/>
      <c r="N15" s="149">
        <f>L15+K15+G15+M15</f>
        <v>-41664</v>
      </c>
      <c r="O15" s="67">
        <f t="shared" si="2"/>
        <v>1710233.8444444442</v>
      </c>
      <c r="P15" s="7">
        <f t="shared" si="4"/>
        <v>15392104.599999998</v>
      </c>
      <c r="Q15" s="164">
        <f>Q14+N15+3</f>
        <v>1998395.4500000002</v>
      </c>
      <c r="R15" s="29">
        <f t="shared" si="3"/>
        <v>1463.0364150882517</v>
      </c>
      <c r="S15" s="5">
        <f>SUM($Q$7:$Q15)/T15</f>
        <v>2065705.0055555552</v>
      </c>
      <c r="T15" s="17">
        <v>9</v>
      </c>
      <c r="U15" s="4"/>
      <c r="V15" s="4"/>
      <c r="W15" s="105">
        <v>-1237309</v>
      </c>
      <c r="X15" s="167"/>
      <c r="Y15" s="156">
        <f>Y14-K15-L15-1-2</f>
        <v>-1236609</v>
      </c>
      <c r="Z15" s="217"/>
      <c r="AA15" s="92"/>
      <c r="AB15" s="92"/>
    </row>
    <row r="16" spans="2:255" s="69" customFormat="1">
      <c r="B16" s="116">
        <v>44001</v>
      </c>
      <c r="C16" s="14" t="str">
        <f t="shared" si="0"/>
        <v/>
      </c>
      <c r="D16" s="129"/>
      <c r="E16" s="87">
        <v>0</v>
      </c>
      <c r="F16" s="23">
        <v>-267647</v>
      </c>
      <c r="G16" s="26">
        <f>D16+E16+F16-E15-F15</f>
        <v>-3182</v>
      </c>
      <c r="H16" s="132">
        <v>-18500</v>
      </c>
      <c r="I16" s="63">
        <v>8600</v>
      </c>
      <c r="J16" s="63">
        <v>-300</v>
      </c>
      <c r="K16" s="170">
        <f t="shared" si="8"/>
        <v>-10200</v>
      </c>
      <c r="L16" s="172">
        <v>-11</v>
      </c>
      <c r="M16" s="153"/>
      <c r="N16" s="152">
        <f>L16+K16+G16+M16</f>
        <v>-13393</v>
      </c>
      <c r="O16" s="67">
        <f t="shared" si="2"/>
        <v>1723591.4049999998</v>
      </c>
      <c r="P16" s="70">
        <f t="shared" si="4"/>
        <v>17235914.049999997</v>
      </c>
      <c r="Q16" s="164">
        <f>Q15+N16</f>
        <v>1985002.4500000002</v>
      </c>
      <c r="R16" s="71">
        <f t="shared" si="3"/>
        <v>1457.320653290177</v>
      </c>
      <c r="S16" s="72">
        <f>SUM($Q$7:$Q16)/T16</f>
        <v>2057634.7499999995</v>
      </c>
      <c r="T16" s="73">
        <v>10</v>
      </c>
      <c r="U16" s="218"/>
      <c r="V16" s="133"/>
      <c r="W16" s="105">
        <v>-1227097</v>
      </c>
      <c r="X16" s="167"/>
      <c r="Y16" s="156">
        <f>Y15-K16-L16+1</f>
        <v>-1226397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44002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1734520.3181818179</v>
      </c>
      <c r="P17" s="7">
        <f t="shared" si="4"/>
        <v>19079723.499999996</v>
      </c>
      <c r="Q17" s="164">
        <f t="shared" si="5"/>
        <v>1985002.4500000002</v>
      </c>
      <c r="R17" s="29">
        <f t="shared" si="3"/>
        <v>1452.6441209099341</v>
      </c>
      <c r="S17" s="5">
        <f>SUM($Q$7:$Q17)/T17</f>
        <v>2051031.8136363633</v>
      </c>
      <c r="T17" s="18">
        <v>11</v>
      </c>
      <c r="U17" s="27"/>
      <c r="V17" s="136"/>
      <c r="W17" s="105">
        <v>-1227097</v>
      </c>
      <c r="X17" s="167"/>
      <c r="Y17" s="156">
        <f t="shared" si="7"/>
        <v>-1226397</v>
      </c>
      <c r="Z17" s="217"/>
      <c r="AA17" s="92"/>
      <c r="AC17" s="92"/>
    </row>
    <row r="18" spans="2:31">
      <c r="B18" s="116">
        <v>44003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1743627.7458333329</v>
      </c>
      <c r="P18" s="7">
        <f t="shared" si="4"/>
        <v>20923532.949999996</v>
      </c>
      <c r="Q18" s="164">
        <f t="shared" si="5"/>
        <v>1985002.4500000002</v>
      </c>
      <c r="R18" s="29">
        <f t="shared" si="3"/>
        <v>1448.7455940922468</v>
      </c>
      <c r="S18" s="5">
        <f>SUM($Q$7:$Q18)/T18-2</f>
        <v>2045527.3666666662</v>
      </c>
      <c r="T18" s="18">
        <v>12</v>
      </c>
      <c r="U18" s="27"/>
      <c r="V18" s="136"/>
      <c r="W18" s="105">
        <v>-1227097</v>
      </c>
      <c r="X18" s="167"/>
      <c r="Y18" s="156">
        <f t="shared" si="7"/>
        <v>-1226397</v>
      </c>
      <c r="Z18" s="217"/>
      <c r="AA18" s="92"/>
    </row>
    <row r="19" spans="2:31">
      <c r="B19" s="116">
        <v>44004</v>
      </c>
      <c r="C19" s="14" t="str">
        <f t="shared" si="0"/>
        <v/>
      </c>
      <c r="D19" s="87"/>
      <c r="E19" s="87">
        <v>0</v>
      </c>
      <c r="F19" s="23">
        <v>-270360</v>
      </c>
      <c r="G19" s="26">
        <f>D19+E19+F19-E16-F16</f>
        <v>-2713</v>
      </c>
      <c r="H19" s="132">
        <v>300</v>
      </c>
      <c r="I19" s="25">
        <v>-5900</v>
      </c>
      <c r="J19" s="63">
        <v>-500</v>
      </c>
      <c r="K19" s="170">
        <f t="shared" si="8"/>
        <v>-6100</v>
      </c>
      <c r="L19" s="171">
        <v>37</v>
      </c>
      <c r="M19" s="153"/>
      <c r="N19" s="149">
        <f t="shared" si="6"/>
        <v>-8776</v>
      </c>
      <c r="O19" s="67">
        <f t="shared" si="2"/>
        <v>1750659.0307692303</v>
      </c>
      <c r="P19" s="7">
        <f t="shared" si="4"/>
        <v>22758567.399999995</v>
      </c>
      <c r="Q19" s="164">
        <f>Q18+N19+1</f>
        <v>1976227.4500000002</v>
      </c>
      <c r="R19" s="29">
        <f t="shared" si="3"/>
        <v>1444.9699701826576</v>
      </c>
      <c r="S19" s="5">
        <f>SUM($Q$7:$Q19)/T19-2</f>
        <v>2040196.4499999995</v>
      </c>
      <c r="T19" s="18">
        <v>13</v>
      </c>
      <c r="U19" s="138">
        <f>B19</f>
        <v>44004</v>
      </c>
      <c r="V19" s="131" t="s">
        <v>336</v>
      </c>
      <c r="W19" s="105">
        <v>-1221035</v>
      </c>
      <c r="X19" s="167">
        <f>AVERAGE(W19:W27)</f>
        <v>-1238109.2222222222</v>
      </c>
      <c r="Y19" s="156">
        <f>Y18-K19-L19-1</f>
        <v>-1220335</v>
      </c>
      <c r="Z19" s="217">
        <f>AVERAGE(Y19:Y27)</f>
        <v>-1237409.2222222222</v>
      </c>
      <c r="AA19" s="92"/>
    </row>
    <row r="20" spans="2:31">
      <c r="B20" s="116">
        <v>44005</v>
      </c>
      <c r="C20" s="14"/>
      <c r="D20" s="87"/>
      <c r="E20" s="87">
        <v>1</v>
      </c>
      <c r="F20" s="23">
        <v>-275180</v>
      </c>
      <c r="G20" s="26">
        <f>D20+E20+F20-E19-F19</f>
        <v>-4819</v>
      </c>
      <c r="H20" s="132">
        <v>-2800</v>
      </c>
      <c r="I20" s="25">
        <v>7300</v>
      </c>
      <c r="J20" s="63">
        <v>-500</v>
      </c>
      <c r="K20" s="170">
        <f t="shared" si="8"/>
        <v>4000</v>
      </c>
      <c r="L20" s="171">
        <v>-1</v>
      </c>
      <c r="M20" s="153"/>
      <c r="N20" s="149">
        <f t="shared" si="6"/>
        <v>-820</v>
      </c>
      <c r="O20" s="67">
        <f t="shared" si="2"/>
        <v>1756627.2035714281</v>
      </c>
      <c r="P20" s="7">
        <f t="shared" si="4"/>
        <v>24592780.849999994</v>
      </c>
      <c r="Q20" s="164">
        <f>Q19+N20-1</f>
        <v>1975406.4500000002</v>
      </c>
      <c r="R20" s="29">
        <f t="shared" si="3"/>
        <v>1441.6921872897378</v>
      </c>
      <c r="S20" s="5">
        <f>SUM($Q$7:$Q20)/T20-2</f>
        <v>2035568.4499999995</v>
      </c>
      <c r="T20" s="18">
        <v>14</v>
      </c>
      <c r="U20" s="138">
        <f>B19+8</f>
        <v>44012</v>
      </c>
      <c r="V20" s="131">
        <v>1889.8</v>
      </c>
      <c r="W20" s="105">
        <v>-1225034</v>
      </c>
      <c r="X20" s="167"/>
      <c r="Y20" s="156">
        <f>Y19-K20-L20</f>
        <v>-1224334</v>
      </c>
      <c r="Z20" s="217"/>
      <c r="AA20" s="92"/>
      <c r="AB20" s="92"/>
    </row>
    <row r="21" spans="2:31">
      <c r="B21" s="116">
        <v>44006</v>
      </c>
      <c r="C21" s="14" t="str">
        <f t="shared" si="0"/>
        <v/>
      </c>
      <c r="D21" s="87">
        <f>-759988-471+1308433+15611+670-1064</f>
        <v>563191</v>
      </c>
      <c r="E21" s="87">
        <v>0</v>
      </c>
      <c r="F21" s="23">
        <v>-286082</v>
      </c>
      <c r="G21" s="26">
        <f>D21+E21+F21-E20-F20</f>
        <v>552288</v>
      </c>
      <c r="H21" s="132">
        <v>300</v>
      </c>
      <c r="I21" s="25">
        <v>-5000</v>
      </c>
      <c r="J21" s="63">
        <v>-500</v>
      </c>
      <c r="K21" s="170">
        <f t="shared" si="8"/>
        <v>-5200</v>
      </c>
      <c r="L21" s="171">
        <v>-28</v>
      </c>
      <c r="M21" s="153"/>
      <c r="N21" s="149">
        <f>L21+K21+G21+M21</f>
        <v>547060</v>
      </c>
      <c r="O21" s="67">
        <f t="shared" si="2"/>
        <v>1798270.3533333328</v>
      </c>
      <c r="P21" s="7">
        <f t="shared" si="4"/>
        <v>26974055.299999993</v>
      </c>
      <c r="Q21" s="164">
        <f>Q20+N21+1</f>
        <v>2522467.4500000002</v>
      </c>
      <c r="R21" s="29">
        <f t="shared" si="3"/>
        <v>1464.6825621666792</v>
      </c>
      <c r="S21" s="5">
        <f>SUM($Q$7:$Q21)/T21-1</f>
        <v>2068029.2499999995</v>
      </c>
      <c r="T21" s="18">
        <v>15</v>
      </c>
      <c r="U21" s="4"/>
      <c r="V21" s="131"/>
      <c r="W21" s="105">
        <v>-1219806</v>
      </c>
      <c r="X21" s="167"/>
      <c r="Y21" s="156">
        <f>Y20-K21-L21</f>
        <v>-1219106</v>
      </c>
      <c r="Z21" s="217"/>
      <c r="AA21" s="92"/>
    </row>
    <row r="22" spans="2:31">
      <c r="B22" s="116">
        <v>44007</v>
      </c>
      <c r="C22" s="14" t="str">
        <f t="shared" si="0"/>
        <v/>
      </c>
      <c r="D22" s="87">
        <f>-624+1290</f>
        <v>666</v>
      </c>
      <c r="E22" s="87">
        <v>22</v>
      </c>
      <c r="F22" s="23">
        <v>-291022</v>
      </c>
      <c r="G22" s="26">
        <f>D22+E22+F22-E21-F21</f>
        <v>-4252</v>
      </c>
      <c r="H22" s="132">
        <v>300</v>
      </c>
      <c r="I22" s="25">
        <v>2400</v>
      </c>
      <c r="J22" s="63">
        <v>-500</v>
      </c>
      <c r="K22" s="170">
        <f t="shared" si="8"/>
        <v>2200</v>
      </c>
      <c r="L22" s="171">
        <v>37</v>
      </c>
      <c r="M22" s="153"/>
      <c r="N22" s="149">
        <f>L22+K22+G22+M22</f>
        <v>-2015</v>
      </c>
      <c r="O22" s="67">
        <f t="shared" si="2"/>
        <v>1834582.1093749995</v>
      </c>
      <c r="P22" s="7">
        <f t="shared" si="4"/>
        <v>29353313.749999993</v>
      </c>
      <c r="Q22" s="164">
        <f>Q21+N22-1</f>
        <v>2520451.4500000002</v>
      </c>
      <c r="R22" s="29">
        <f t="shared" si="3"/>
        <v>1484.7085726629502</v>
      </c>
      <c r="S22" s="5">
        <f>SUM($Q$7:$Q22)/T22-2</f>
        <v>2096304.5749999995</v>
      </c>
      <c r="T22" s="18">
        <v>16</v>
      </c>
      <c r="U22" s="4"/>
      <c r="V22" s="131"/>
      <c r="W22" s="105">
        <v>-1222042</v>
      </c>
      <c r="X22" s="167"/>
      <c r="Y22" s="156">
        <f>Y21-K22-L22+1</f>
        <v>-1221342</v>
      </c>
      <c r="Z22" s="217"/>
      <c r="AA22" s="92"/>
    </row>
    <row r="23" spans="2:31">
      <c r="B23" s="116">
        <v>44008</v>
      </c>
      <c r="C23" s="14" t="str">
        <f t="shared" si="0"/>
        <v/>
      </c>
      <c r="D23" s="87"/>
      <c r="E23" s="87">
        <v>7</v>
      </c>
      <c r="F23" s="23">
        <v>-299197</v>
      </c>
      <c r="G23" s="26">
        <f t="shared" ref="G23" si="9">D23+E23+F23-E22-F22</f>
        <v>-8190</v>
      </c>
      <c r="H23" s="132">
        <v>300</v>
      </c>
      <c r="I23" s="25">
        <v>18300</v>
      </c>
      <c r="J23" s="63">
        <v>-500</v>
      </c>
      <c r="K23" s="170">
        <f>+H23+I23+J23</f>
        <v>18100</v>
      </c>
      <c r="L23" s="171">
        <v>-39</v>
      </c>
      <c r="M23" s="153"/>
      <c r="N23" s="149">
        <f>L23+K23+G23+M23</f>
        <v>9871</v>
      </c>
      <c r="O23" s="67">
        <f t="shared" si="2"/>
        <v>1867202.5999999996</v>
      </c>
      <c r="P23" s="7">
        <f t="shared" si="4"/>
        <v>31742444.199999992</v>
      </c>
      <c r="Q23" s="164">
        <f>Q22+N23+1</f>
        <v>2530323.4500000002</v>
      </c>
      <c r="R23" s="29">
        <f t="shared" si="3"/>
        <v>1502.791908530709</v>
      </c>
      <c r="S23" s="5">
        <f>SUM($Q$7:$Q23)/T23</f>
        <v>2121836.9794117641</v>
      </c>
      <c r="T23" s="18">
        <v>17</v>
      </c>
      <c r="U23" s="27"/>
      <c r="V23" s="135"/>
      <c r="W23" s="105">
        <v>-1240104</v>
      </c>
      <c r="X23" s="167"/>
      <c r="Y23" s="156">
        <f>Y22-K23-L23-1</f>
        <v>-1239404</v>
      </c>
      <c r="Z23" s="217"/>
      <c r="AA23" s="92"/>
    </row>
    <row r="24" spans="2:31">
      <c r="B24" s="116">
        <v>44009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1896198.5916666661</v>
      </c>
      <c r="P24" s="7">
        <f t="shared" si="4"/>
        <v>34131574.649999991</v>
      </c>
      <c r="Q24" s="164">
        <f t="shared" si="5"/>
        <v>2530323.4500000002</v>
      </c>
      <c r="R24" s="29">
        <f t="shared" si="3"/>
        <v>1518.8647257457676</v>
      </c>
      <c r="S24" s="5">
        <f>SUM($Q$7:$Q24)/T24</f>
        <v>2144530.6722222217</v>
      </c>
      <c r="T24" s="18">
        <v>18</v>
      </c>
      <c r="U24" s="4"/>
      <c r="V24" s="135"/>
      <c r="W24" s="105">
        <v>-1240104</v>
      </c>
      <c r="X24" s="167"/>
      <c r="Y24" s="156">
        <f t="shared" si="7"/>
        <v>-1239404</v>
      </c>
      <c r="Z24" s="217"/>
      <c r="AA24" s="92"/>
      <c r="AD24" s="1"/>
      <c r="AE24" s="1"/>
    </row>
    <row r="25" spans="2:31">
      <c r="B25" s="116">
        <v>44010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1922142.3736842102</v>
      </c>
      <c r="P25" s="7">
        <f t="shared" si="4"/>
        <v>36520705.099999994</v>
      </c>
      <c r="Q25" s="164">
        <f t="shared" si="5"/>
        <v>2530323.4500000002</v>
      </c>
      <c r="R25" s="29">
        <f t="shared" si="3"/>
        <v>1533.2442509636865</v>
      </c>
      <c r="S25" s="5">
        <f>SUM($Q$7:$Q25)/T25-2</f>
        <v>2164833.5552631579</v>
      </c>
      <c r="T25" s="18">
        <v>19</v>
      </c>
      <c r="U25" s="4"/>
      <c r="V25" s="131"/>
      <c r="W25" s="105">
        <v>-1240104</v>
      </c>
      <c r="X25" s="167"/>
      <c r="Y25" s="156">
        <f t="shared" si="7"/>
        <v>-1239404</v>
      </c>
      <c r="Z25" s="217"/>
      <c r="AA25" s="92"/>
      <c r="AD25" s="1"/>
      <c r="AE25" s="1"/>
    </row>
    <row r="26" spans="2:31">
      <c r="B26" s="116">
        <v>44011</v>
      </c>
      <c r="C26" s="14" t="str">
        <f t="shared" si="0"/>
        <v/>
      </c>
      <c r="D26" s="87"/>
      <c r="E26" s="87">
        <v>7</v>
      </c>
      <c r="F26" s="23">
        <v>-313531</v>
      </c>
      <c r="G26" s="26">
        <f>D26+E26+F26-E23-F23</f>
        <v>-14334</v>
      </c>
      <c r="H26" s="132">
        <v>-5200</v>
      </c>
      <c r="I26" s="25">
        <v>35000</v>
      </c>
      <c r="J26" s="63">
        <v>-1000</v>
      </c>
      <c r="K26" s="170">
        <f>+H26+I26+J26</f>
        <v>28800</v>
      </c>
      <c r="L26" s="171">
        <v>-18</v>
      </c>
      <c r="M26" s="153"/>
      <c r="N26" s="149">
        <f t="shared" si="6"/>
        <v>14448</v>
      </c>
      <c r="O26" s="67">
        <f t="shared" si="2"/>
        <v>1946214.0774999999</v>
      </c>
      <c r="P26" s="7">
        <f t="shared" si="4"/>
        <v>38924281.549999997</v>
      </c>
      <c r="Q26" s="164">
        <f>Q25+N26-2</f>
        <v>2544769.4500000002</v>
      </c>
      <c r="R26" s="29">
        <f t="shared" si="3"/>
        <v>1546.6993760313896</v>
      </c>
      <c r="S26" s="5">
        <f>SUM($Q$7:$Q26)/T26-1</f>
        <v>2183831.25</v>
      </c>
      <c r="T26" s="18">
        <v>20</v>
      </c>
      <c r="U26" s="138">
        <f>B26</f>
        <v>44011</v>
      </c>
      <c r="V26" s="131" t="s">
        <v>337</v>
      </c>
      <c r="W26" s="105">
        <v>-1268884</v>
      </c>
      <c r="X26" s="167">
        <f>AVERAGE(W26:W34)</f>
        <v>-1318066.4444444445</v>
      </c>
      <c r="Y26" s="156">
        <f>Y25-K26-L26+2</f>
        <v>-1268184</v>
      </c>
      <c r="Z26" s="217">
        <f>AVERAGE(Y26:Y34)</f>
        <v>-1317833.111111111</v>
      </c>
      <c r="AC26" s="92"/>
      <c r="AD26" s="1"/>
      <c r="AE26" s="1"/>
    </row>
    <row r="27" spans="2:31">
      <c r="B27" s="116">
        <v>44012</v>
      </c>
      <c r="C27" s="14" t="str">
        <f t="shared" si="0"/>
        <v/>
      </c>
      <c r="D27" s="87"/>
      <c r="E27" s="87">
        <v>0</v>
      </c>
      <c r="F27" s="23">
        <v>-353622</v>
      </c>
      <c r="G27" s="26">
        <f>D27+E27+F27-E26-F26</f>
        <v>-40098</v>
      </c>
      <c r="H27" s="132">
        <v>-200</v>
      </c>
      <c r="I27" s="25">
        <v>-1800</v>
      </c>
      <c r="J27" s="63">
        <v>-1000</v>
      </c>
      <c r="K27" s="170">
        <f t="shared" si="8"/>
        <v>-3000</v>
      </c>
      <c r="L27" s="171">
        <v>-15</v>
      </c>
      <c r="M27" s="153"/>
      <c r="N27" s="149">
        <f>L27+K27+G27+M27</f>
        <v>-43113</v>
      </c>
      <c r="O27" s="67">
        <f t="shared" si="2"/>
        <v>1965940.2380952381</v>
      </c>
      <c r="P27" s="7">
        <f t="shared" si="4"/>
        <v>41284745</v>
      </c>
      <c r="Q27" s="164">
        <f>Q26+N27</f>
        <v>2501656.4500000002</v>
      </c>
      <c r="R27" s="29">
        <f t="shared" si="3"/>
        <v>1557.4183817287583</v>
      </c>
      <c r="S27" s="5">
        <f>SUM($Q$7:$Q27)/T27-1</f>
        <v>2198965.7357142856</v>
      </c>
      <c r="T27" s="18">
        <v>21</v>
      </c>
      <c r="U27" s="138">
        <f>B28+6</f>
        <v>44019</v>
      </c>
      <c r="V27" s="159">
        <v>1865</v>
      </c>
      <c r="W27" s="105">
        <v>-1265870</v>
      </c>
      <c r="X27" s="167"/>
      <c r="Y27" s="156">
        <f>Y26-K27-L27-1</f>
        <v>-1265170</v>
      </c>
      <c r="Z27" s="217"/>
      <c r="AA27" s="92"/>
      <c r="AD27" s="1"/>
      <c r="AE27" s="1"/>
    </row>
    <row r="28" spans="2:31">
      <c r="B28" s="116">
        <v>44013</v>
      </c>
      <c r="C28" s="14" t="str">
        <f t="shared" si="0"/>
        <v/>
      </c>
      <c r="D28" s="87">
        <f>-670+1372</f>
        <v>702</v>
      </c>
      <c r="E28" s="87">
        <v>0</v>
      </c>
      <c r="F28" s="23">
        <v>-395395</v>
      </c>
      <c r="G28" s="26">
        <f>D28+E28+F28-E27-F27</f>
        <v>-41071</v>
      </c>
      <c r="H28" s="132">
        <v>8300</v>
      </c>
      <c r="I28" s="25">
        <v>56800</v>
      </c>
      <c r="J28" s="25">
        <v>-1000</v>
      </c>
      <c r="K28" s="170">
        <f t="shared" si="8"/>
        <v>64100</v>
      </c>
      <c r="L28" s="171">
        <v>-1</v>
      </c>
      <c r="M28" s="153"/>
      <c r="N28" s="149">
        <f>L28+K28+G28+M28</f>
        <v>23028</v>
      </c>
      <c r="O28" s="67">
        <f t="shared" si="2"/>
        <v>1984919.8386363639</v>
      </c>
      <c r="P28" s="7">
        <f t="shared" si="4"/>
        <v>43668236.450000003</v>
      </c>
      <c r="Q28" s="164">
        <f>Q27+N28</f>
        <v>2524684.4500000002</v>
      </c>
      <c r="R28" s="29">
        <f t="shared" si="3"/>
        <v>1567.9042773817655</v>
      </c>
      <c r="S28" s="5">
        <f>SUM($Q$7:$Q28)/T28-1</f>
        <v>2213771.0863636364</v>
      </c>
      <c r="T28" s="18">
        <v>22</v>
      </c>
      <c r="U28" s="4"/>
      <c r="V28" s="131"/>
      <c r="W28" s="105">
        <v>-1329969</v>
      </c>
      <c r="X28" s="167"/>
      <c r="Y28" s="156">
        <f>Y27-K28-L28</f>
        <v>-1329269</v>
      </c>
      <c r="Z28" s="217"/>
      <c r="AA28" s="92"/>
      <c r="AD28" s="1"/>
      <c r="AE28" s="1"/>
    </row>
    <row r="29" spans="2:31">
      <c r="B29" s="116">
        <v>44014</v>
      </c>
      <c r="C29" s="14" t="str">
        <f t="shared" si="0"/>
        <v/>
      </c>
      <c r="D29" s="87"/>
      <c r="E29" s="87">
        <v>0</v>
      </c>
      <c r="F29" s="23">
        <v>-410322</v>
      </c>
      <c r="G29" s="26">
        <f>D29+E29+F29-E28-F28</f>
        <v>-14927</v>
      </c>
      <c r="H29" s="132">
        <v>-7200</v>
      </c>
      <c r="I29" s="25">
        <v>-300</v>
      </c>
      <c r="J29" s="25">
        <v>-1000</v>
      </c>
      <c r="K29" s="170">
        <f t="shared" si="8"/>
        <v>-8500</v>
      </c>
      <c r="L29" s="171">
        <v>48</v>
      </c>
      <c r="M29" s="153"/>
      <c r="N29" s="149">
        <f>L29+K29+G29+M29</f>
        <v>-23379</v>
      </c>
      <c r="O29" s="67">
        <f t="shared" si="2"/>
        <v>2001232.6478260872</v>
      </c>
      <c r="P29" s="7">
        <f t="shared" si="4"/>
        <v>46028350.900000006</v>
      </c>
      <c r="Q29" s="164">
        <f>Q28+N29+2</f>
        <v>2501307.4500000002</v>
      </c>
      <c r="R29" s="29">
        <f t="shared" si="3"/>
        <v>1576.758496464445</v>
      </c>
      <c r="S29" s="5">
        <f>SUM($Q$7:$Q29)/T29-1</f>
        <v>2226272.6239130436</v>
      </c>
      <c r="T29" s="18">
        <v>23</v>
      </c>
      <c r="U29" s="4"/>
      <c r="V29" s="131"/>
      <c r="W29" s="105">
        <v>-1320819</v>
      </c>
      <c r="X29" s="167"/>
      <c r="Y29" s="156">
        <f>Y28-K29-L29-2</f>
        <v>-1320819</v>
      </c>
      <c r="Z29" s="217"/>
      <c r="AA29" s="92"/>
      <c r="AD29" s="1"/>
      <c r="AE29" s="1"/>
    </row>
    <row r="30" spans="2:31">
      <c r="B30" s="116">
        <v>44015</v>
      </c>
      <c r="C30" s="14" t="str">
        <f t="shared" si="0"/>
        <v/>
      </c>
      <c r="D30" s="87"/>
      <c r="E30" s="87">
        <v>0</v>
      </c>
      <c r="F30" s="23">
        <v>-418949</v>
      </c>
      <c r="G30" s="26">
        <f>D30+E30+F30-E29-F29</f>
        <v>-8627</v>
      </c>
      <c r="H30" s="132">
        <v>300</v>
      </c>
      <c r="I30" s="25">
        <v>8500</v>
      </c>
      <c r="J30" s="25">
        <v>-1000</v>
      </c>
      <c r="K30" s="170">
        <f t="shared" si="8"/>
        <v>7800</v>
      </c>
      <c r="L30" s="171">
        <v>-32</v>
      </c>
      <c r="M30" s="153"/>
      <c r="N30" s="149">
        <f t="shared" si="6"/>
        <v>-859</v>
      </c>
      <c r="O30" s="67">
        <f t="shared" si="2"/>
        <v>2016150.3062500004</v>
      </c>
      <c r="P30" s="7">
        <f t="shared" si="4"/>
        <v>48387607.350000009</v>
      </c>
      <c r="Q30" s="164">
        <f>Q29+N30+1</f>
        <v>2500449.4500000002</v>
      </c>
      <c r="R30" s="29">
        <f t="shared" si="3"/>
        <v>1584.8545017576419</v>
      </c>
      <c r="S30" s="5">
        <f>SUM($Q$7:$Q30)/T30+6</f>
        <v>2237703.6166666672</v>
      </c>
      <c r="T30" s="18">
        <v>24</v>
      </c>
      <c r="U30" s="4"/>
      <c r="V30" s="131"/>
      <c r="W30" s="105">
        <v>-1328587</v>
      </c>
      <c r="X30" s="167"/>
      <c r="Y30" s="156">
        <f>Y29-K30-L30</f>
        <v>-1328587</v>
      </c>
      <c r="Z30" s="217"/>
      <c r="AA30" s="92"/>
      <c r="AD30" s="1"/>
      <c r="AE30" s="1"/>
    </row>
    <row r="31" spans="2:31">
      <c r="B31" s="116">
        <v>44016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2029874.5520000004</v>
      </c>
      <c r="P31" s="7">
        <f t="shared" si="4"/>
        <v>50746863.800000012</v>
      </c>
      <c r="Q31" s="164">
        <f t="shared" si="5"/>
        <v>2500449.4500000002</v>
      </c>
      <c r="R31" s="29">
        <f t="shared" si="3"/>
        <v>1592.2954324931127</v>
      </c>
      <c r="S31" s="5">
        <f>SUM($Q$7:$Q31)/T31+2</f>
        <v>2248209.6900000004</v>
      </c>
      <c r="T31" s="18">
        <v>25</v>
      </c>
      <c r="U31" s="4"/>
      <c r="V31" s="137"/>
      <c r="W31" s="105">
        <v>-1328587</v>
      </c>
      <c r="X31" s="167"/>
      <c r="Y31" s="156">
        <f t="shared" si="7"/>
        <v>-1328587</v>
      </c>
      <c r="Z31" s="217"/>
      <c r="AA31" s="92"/>
      <c r="AB31" s="92"/>
      <c r="AD31" s="1"/>
      <c r="AE31" s="1"/>
    </row>
    <row r="32" spans="2:31">
      <c r="B32" s="116">
        <v>44017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2042543.0865384622</v>
      </c>
      <c r="P32" s="7">
        <f t="shared" si="4"/>
        <v>53106120.250000015</v>
      </c>
      <c r="Q32" s="164">
        <f t="shared" si="5"/>
        <v>2500449.4500000002</v>
      </c>
      <c r="R32" s="29">
        <f t="shared" si="3"/>
        <v>1599.1609330164006</v>
      </c>
      <c r="S32" s="5">
        <f>SUM($Q$7:$Q32)/T32-6</f>
        <v>2257903.2961538467</v>
      </c>
      <c r="T32" s="18">
        <v>26</v>
      </c>
      <c r="U32" s="27"/>
      <c r="V32" s="137"/>
      <c r="W32" s="105">
        <v>-1328587</v>
      </c>
      <c r="X32" s="167"/>
      <c r="Y32" s="156">
        <f t="shared" si="7"/>
        <v>-1328587</v>
      </c>
      <c r="Z32" s="217"/>
      <c r="AD32" s="1"/>
      <c r="AE32" s="1"/>
    </row>
    <row r="33" spans="2:31">
      <c r="B33" s="116">
        <v>44018</v>
      </c>
      <c r="C33" s="14" t="str">
        <f t="shared" si="0"/>
        <v/>
      </c>
      <c r="D33" s="87"/>
      <c r="E33" s="87">
        <v>0</v>
      </c>
      <c r="F33" s="23">
        <v>-431866</v>
      </c>
      <c r="G33" s="26">
        <f>D33+E33+F33-E30-F30</f>
        <v>-12917</v>
      </c>
      <c r="H33" s="132">
        <v>300</v>
      </c>
      <c r="I33" s="25">
        <v>16200</v>
      </c>
      <c r="J33" s="25">
        <v>-700</v>
      </c>
      <c r="K33" s="170">
        <f t="shared" si="8"/>
        <v>15800</v>
      </c>
      <c r="L33" s="171">
        <v>-25</v>
      </c>
      <c r="M33" s="153"/>
      <c r="N33" s="149">
        <f t="shared" si="6"/>
        <v>2858</v>
      </c>
      <c r="O33" s="67">
        <f t="shared" si="2"/>
        <v>2054379.0259259266</v>
      </c>
      <c r="P33" s="7">
        <f t="shared" si="4"/>
        <v>55468233.700000018</v>
      </c>
      <c r="Q33" s="164">
        <f>Q32+N33-1</f>
        <v>2503306.4500000002</v>
      </c>
      <c r="R33" s="29">
        <f t="shared" si="3"/>
        <v>1605.6016088826148</v>
      </c>
      <c r="S33" s="5">
        <f>SUM($Q$7:$Q33)/T33-1</f>
        <v>2266997.0796296303</v>
      </c>
      <c r="T33" s="18">
        <v>27</v>
      </c>
      <c r="U33" s="138">
        <f>B33</f>
        <v>44018</v>
      </c>
      <c r="V33" s="131" t="s">
        <v>338</v>
      </c>
      <c r="W33" s="105">
        <v>-1344362</v>
      </c>
      <c r="X33" s="167">
        <f>AVERAGE(W33:W41)</f>
        <v>-1359042.4444444445</v>
      </c>
      <c r="Y33" s="156">
        <f>Y32-K33-L33</f>
        <v>-1344362</v>
      </c>
      <c r="Z33" s="217">
        <f>AVERAGE(Y33:Y41)</f>
        <v>-1359042.4444444445</v>
      </c>
      <c r="AD33" s="1"/>
      <c r="AE33" s="1"/>
    </row>
    <row r="34" spans="2:31">
      <c r="B34" s="116">
        <v>44019</v>
      </c>
      <c r="C34" s="14" t="str">
        <f t="shared" si="0"/>
        <v/>
      </c>
      <c r="D34" s="87"/>
      <c r="E34" s="87">
        <v>0</v>
      </c>
      <c r="F34" s="23">
        <v>-434524</v>
      </c>
      <c r="G34" s="26">
        <f>D34+E34+F34-E33-F33</f>
        <v>-2658</v>
      </c>
      <c r="H34" s="132">
        <v>300</v>
      </c>
      <c r="I34" s="25">
        <v>3000</v>
      </c>
      <c r="J34" s="25">
        <v>-700</v>
      </c>
      <c r="K34" s="170">
        <f t="shared" si="8"/>
        <v>2600</v>
      </c>
      <c r="L34" s="171">
        <v>-29</v>
      </c>
      <c r="M34" s="153"/>
      <c r="N34" s="149">
        <f>L34+K34+G34+M34</f>
        <v>-87</v>
      </c>
      <c r="O34" s="67">
        <f t="shared" si="2"/>
        <v>2065366.4696428578</v>
      </c>
      <c r="P34" s="7">
        <f t="shared" si="4"/>
        <v>57830261.150000021</v>
      </c>
      <c r="Q34" s="164">
        <f>Q33+N34+1</f>
        <v>2503220.4500000002</v>
      </c>
      <c r="R34" s="29">
        <f t="shared" si="3"/>
        <v>1611.5774810770674</v>
      </c>
      <c r="S34" s="5">
        <f>SUM($Q$7:$Q34)/T34</f>
        <v>2275434.5928571438</v>
      </c>
      <c r="T34" s="18">
        <v>28</v>
      </c>
      <c r="U34" s="138">
        <f>B33+8</f>
        <v>44026</v>
      </c>
      <c r="V34" s="131">
        <v>1861.7</v>
      </c>
      <c r="W34" s="105">
        <v>-1346933</v>
      </c>
      <c r="X34" s="167"/>
      <c r="Y34" s="156">
        <f>Y33-K34-L34</f>
        <v>-1346933</v>
      </c>
      <c r="Z34" s="217"/>
      <c r="AA34" s="92"/>
      <c r="AD34" s="1"/>
      <c r="AE34" s="1"/>
    </row>
    <row r="35" spans="2:31">
      <c r="B35" s="116">
        <v>44020</v>
      </c>
      <c r="C35" s="14" t="str">
        <f t="shared" si="0"/>
        <v/>
      </c>
      <c r="D35" s="87">
        <f>-1372+1090</f>
        <v>-282</v>
      </c>
      <c r="E35" s="87">
        <v>0</v>
      </c>
      <c r="F35" s="23">
        <v>-444079</v>
      </c>
      <c r="G35" s="26">
        <f>D35+E35+F35-E34-F34</f>
        <v>-9837</v>
      </c>
      <c r="H35" s="132">
        <v>300</v>
      </c>
      <c r="I35" s="25">
        <v>1900</v>
      </c>
      <c r="J35" s="25">
        <v>-700</v>
      </c>
      <c r="K35" s="170">
        <f t="shared" si="8"/>
        <v>1500</v>
      </c>
      <c r="L35" s="171">
        <v>-14</v>
      </c>
      <c r="M35" s="153"/>
      <c r="N35" s="149">
        <f t="shared" si="6"/>
        <v>-8351</v>
      </c>
      <c r="O35" s="67">
        <f t="shared" si="2"/>
        <v>2075308.2275862077</v>
      </c>
      <c r="P35" s="7">
        <f t="shared" si="4"/>
        <v>60183938.600000024</v>
      </c>
      <c r="Q35" s="164">
        <f>Q34+N35+1</f>
        <v>2494870.4500000002</v>
      </c>
      <c r="R35" s="29">
        <f t="shared" si="3"/>
        <v>1616.9366374761676</v>
      </c>
      <c r="S35" s="5">
        <f>SUM($Q$7:$Q35)/T35</f>
        <v>2283001.3465517252</v>
      </c>
      <c r="T35" s="18">
        <v>29</v>
      </c>
      <c r="U35" s="4"/>
      <c r="V35" s="131"/>
      <c r="W35" s="105">
        <v>-1348420</v>
      </c>
      <c r="X35" s="167"/>
      <c r="Y35" s="156">
        <f>Y34-K35-L35-1</f>
        <v>-1348420</v>
      </c>
      <c r="Z35" s="217"/>
      <c r="AA35" s="92"/>
      <c r="AD35" s="1"/>
      <c r="AE35" s="1"/>
    </row>
    <row r="36" spans="2:31">
      <c r="B36" s="116">
        <v>44021</v>
      </c>
      <c r="C36" s="14" t="str">
        <f t="shared" si="0"/>
        <v/>
      </c>
      <c r="D36" s="87"/>
      <c r="E36" s="87">
        <v>0</v>
      </c>
      <c r="F36" s="23">
        <v>-444528</v>
      </c>
      <c r="G36" s="26">
        <f>D36+E36+F36-E35-F35</f>
        <v>-449</v>
      </c>
      <c r="H36" s="132">
        <v>300</v>
      </c>
      <c r="I36" s="25">
        <v>12600</v>
      </c>
      <c r="J36" s="25">
        <v>-800</v>
      </c>
      <c r="K36" s="170">
        <f t="shared" si="8"/>
        <v>12100</v>
      </c>
      <c r="L36" s="171">
        <v>-15</v>
      </c>
      <c r="M36" s="153"/>
      <c r="N36" s="149">
        <f t="shared" si="6"/>
        <v>11636</v>
      </c>
      <c r="O36" s="67">
        <f t="shared" si="2"/>
        <v>2084974.935000001</v>
      </c>
      <c r="P36" s="7">
        <f t="shared" si="4"/>
        <v>62549248.050000027</v>
      </c>
      <c r="Q36" s="164">
        <f>Q35+N36-4</f>
        <v>2506502.4500000002</v>
      </c>
      <c r="R36" s="29">
        <f t="shared" si="3"/>
        <v>1622.213129073916</v>
      </c>
      <c r="S36" s="5">
        <f>SUM($Q$7:$Q36)/T36</f>
        <v>2290451.3833333342</v>
      </c>
      <c r="T36" s="18">
        <v>30</v>
      </c>
      <c r="U36" s="4"/>
      <c r="V36" s="136"/>
      <c r="W36" s="105">
        <v>-1360502</v>
      </c>
      <c r="X36" s="167"/>
      <c r="Y36" s="156">
        <f>Y35-K36-L36+3</f>
        <v>-1360502</v>
      </c>
      <c r="Z36" s="217"/>
      <c r="AD36" s="1"/>
      <c r="AE36" s="1"/>
    </row>
    <row r="37" spans="2:31">
      <c r="B37" s="116">
        <v>44022</v>
      </c>
      <c r="C37" s="14" t="str">
        <f t="shared" si="0"/>
        <v/>
      </c>
      <c r="D37" s="87"/>
      <c r="E37" s="87">
        <v>0</v>
      </c>
      <c r="F37" s="23">
        <v>-459737</v>
      </c>
      <c r="G37" s="26">
        <f>D37+E37+F37-E36-F36</f>
        <v>-15209</v>
      </c>
      <c r="H37" s="132">
        <v>300</v>
      </c>
      <c r="I37" s="25">
        <v>7400</v>
      </c>
      <c r="J37" s="25">
        <v>-900</v>
      </c>
      <c r="K37" s="170">
        <f t="shared" si="8"/>
        <v>6800</v>
      </c>
      <c r="L37" s="171">
        <v>3</v>
      </c>
      <c r="M37" s="153"/>
      <c r="N37" s="149">
        <f t="shared" si="6"/>
        <v>-8406</v>
      </c>
      <c r="O37" s="67">
        <f t="shared" si="2"/>
        <v>2093746.7258064526</v>
      </c>
      <c r="P37" s="7">
        <f t="shared" si="4"/>
        <v>64906148.50000003</v>
      </c>
      <c r="Q37" s="164">
        <f>Q36+N37-3</f>
        <v>2498093.4500000002</v>
      </c>
      <c r="R37" s="29">
        <f t="shared" si="3"/>
        <v>1626.9577914741737</v>
      </c>
      <c r="S37" s="5">
        <f>SUM($Q$7:$Q37)/T37+1</f>
        <v>2297150.5145161301</v>
      </c>
      <c r="T37" s="18">
        <v>31</v>
      </c>
      <c r="U37" s="27"/>
      <c r="V37" s="137"/>
      <c r="W37" s="105">
        <v>-1367302</v>
      </c>
      <c r="X37" s="167"/>
      <c r="Y37" s="156">
        <f>Y36-K37-L37+3</f>
        <v>-1367302</v>
      </c>
      <c r="Z37" s="217"/>
      <c r="AA37" s="92"/>
      <c r="AD37" s="1"/>
      <c r="AE37" s="1"/>
    </row>
    <row r="38" spans="2:31">
      <c r="B38" s="116">
        <v>44023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2101970.279687501</v>
      </c>
      <c r="P38" s="7">
        <f t="shared" si="4"/>
        <v>67263048.950000033</v>
      </c>
      <c r="Q38" s="164">
        <f>Q37+N38</f>
        <v>2498093.4500000002</v>
      </c>
      <c r="R38" s="29">
        <f t="shared" si="3"/>
        <v>1631.4045402392476</v>
      </c>
      <c r="S38" s="5">
        <f>SUM($Q$7:$Q38)/T38</f>
        <v>2303429.0125000011</v>
      </c>
      <c r="T38" s="18">
        <v>32</v>
      </c>
      <c r="U38" s="27"/>
      <c r="V38" s="137"/>
      <c r="W38" s="105">
        <v>-1367302</v>
      </c>
      <c r="X38" s="167"/>
      <c r="Y38" s="156">
        <f t="shared" si="7"/>
        <v>-1367302</v>
      </c>
      <c r="Z38" s="217"/>
      <c r="AD38" s="1"/>
      <c r="AE38" s="1"/>
    </row>
    <row r="39" spans="2:31">
      <c r="B39" s="116">
        <v>44024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2109695.4363636374</v>
      </c>
      <c r="P39" s="7">
        <f t="shared" si="4"/>
        <v>69619949.400000036</v>
      </c>
      <c r="Q39" s="164">
        <f>Q38+N39</f>
        <v>2498093.4500000002</v>
      </c>
      <c r="R39" s="29">
        <f t="shared" si="3"/>
        <v>1635.5817461548988</v>
      </c>
      <c r="S39" s="5">
        <f>SUM($Q$7:$Q39)/T39-1</f>
        <v>2309326.934848486</v>
      </c>
      <c r="T39" s="18">
        <v>33</v>
      </c>
      <c r="U39" s="27"/>
      <c r="V39" s="137"/>
      <c r="W39" s="105">
        <v>-1367302</v>
      </c>
      <c r="X39" s="167"/>
      <c r="Y39" s="156">
        <f t="shared" si="7"/>
        <v>-1367302</v>
      </c>
      <c r="Z39" s="217"/>
      <c r="AD39" s="1"/>
      <c r="AE39" s="1"/>
    </row>
    <row r="40" spans="2:31">
      <c r="B40" s="116">
        <v>44025</v>
      </c>
      <c r="C40" s="14" t="str">
        <f t="shared" si="0"/>
        <v/>
      </c>
      <c r="D40" s="87"/>
      <c r="E40" s="87">
        <v>10</v>
      </c>
      <c r="F40" s="23">
        <v>-453611</v>
      </c>
      <c r="G40" s="26">
        <f>D40+E40+F40-E37-F37</f>
        <v>6136</v>
      </c>
      <c r="H40" s="132">
        <v>300</v>
      </c>
      <c r="I40" s="25">
        <v>-5000</v>
      </c>
      <c r="J40" s="25">
        <v>-100</v>
      </c>
      <c r="K40" s="170">
        <f t="shared" si="8"/>
        <v>-4800</v>
      </c>
      <c r="L40" s="171">
        <v>17</v>
      </c>
      <c r="M40" s="153"/>
      <c r="N40" s="149">
        <f t="shared" si="6"/>
        <v>1353</v>
      </c>
      <c r="O40" s="67">
        <f t="shared" si="2"/>
        <v>2117005.9955882365</v>
      </c>
      <c r="P40" s="7">
        <f t="shared" si="4"/>
        <v>71978203.850000039</v>
      </c>
      <c r="Q40" s="164">
        <f>Q39+N40+1</f>
        <v>2499447.4500000002</v>
      </c>
      <c r="R40" s="29">
        <f t="shared" si="3"/>
        <v>1639.5428139455348</v>
      </c>
      <c r="S40" s="5">
        <f>SUM($Q$7:$Q40)/T40</f>
        <v>2314919.6852941187</v>
      </c>
      <c r="T40" s="18">
        <v>34</v>
      </c>
      <c r="U40" s="138">
        <f>B40</f>
        <v>44025</v>
      </c>
      <c r="V40" s="131" t="s">
        <v>339</v>
      </c>
      <c r="W40" s="105">
        <v>-1362518</v>
      </c>
      <c r="X40" s="167">
        <f>AVERAGE(W40:W48)</f>
        <v>-1337342.5555555555</v>
      </c>
      <c r="Y40" s="156">
        <f>Y39-K40-L40+1</f>
        <v>-1362518</v>
      </c>
      <c r="Z40" s="217">
        <f>AVERAGE(Y40:Y48)</f>
        <v>-1337342.2222222222</v>
      </c>
      <c r="AD40" s="1"/>
      <c r="AE40" s="1"/>
    </row>
    <row r="41" spans="2:31">
      <c r="B41" s="116">
        <v>44026</v>
      </c>
      <c r="C41" s="14" t="str">
        <f t="shared" si="0"/>
        <v/>
      </c>
      <c r="D41" s="87"/>
      <c r="E41" s="87">
        <v>23</v>
      </c>
      <c r="F41" s="23">
        <v>-447396</v>
      </c>
      <c r="G41" s="26">
        <f>D41+E41+F41-E40-F40</f>
        <v>6228</v>
      </c>
      <c r="H41" s="132">
        <v>-9200</v>
      </c>
      <c r="I41" s="25">
        <v>13500</v>
      </c>
      <c r="J41" s="25">
        <v>-100</v>
      </c>
      <c r="K41" s="170">
        <f t="shared" si="8"/>
        <v>4200</v>
      </c>
      <c r="L41" s="171">
        <v>24</v>
      </c>
      <c r="M41" s="153"/>
      <c r="N41" s="149">
        <f t="shared" si="6"/>
        <v>10452</v>
      </c>
      <c r="O41" s="67">
        <f t="shared" si="2"/>
        <v>2124197.3514285726</v>
      </c>
      <c r="P41" s="7">
        <f t="shared" si="4"/>
        <v>74346907.300000042</v>
      </c>
      <c r="Q41" s="164">
        <f>Q40+N41-3</f>
        <v>2509896.4500000002</v>
      </c>
      <c r="R41" s="29">
        <f t="shared" si="3"/>
        <v>1643.4911433286359</v>
      </c>
      <c r="S41" s="5">
        <f>SUM($Q$7:$Q41)/T41+4</f>
        <v>2320494.4500000011</v>
      </c>
      <c r="T41" s="18">
        <v>35</v>
      </c>
      <c r="U41" s="138">
        <f>B40+8</f>
        <v>44033</v>
      </c>
      <c r="V41" s="137">
        <v>1871.9</v>
      </c>
      <c r="W41" s="105">
        <v>-1366741</v>
      </c>
      <c r="X41" s="167"/>
      <c r="Y41" s="156">
        <f t="shared" ref="Y41" si="10">Y40-K41-L41+1</f>
        <v>-1366741</v>
      </c>
      <c r="Z41" s="217"/>
      <c r="AD41" s="1"/>
      <c r="AE41" s="1"/>
    </row>
    <row r="42" spans="2:31">
      <c r="B42" s="116">
        <v>44027</v>
      </c>
      <c r="C42" s="14" t="str">
        <f t="shared" ref="C42:C48" si="11">IF(OR(WEEKDAY(B42)=1,WEEKDAY(B42)=7),"F","")</f>
        <v/>
      </c>
      <c r="D42" s="87">
        <f>-1090+1026</f>
        <v>-64</v>
      </c>
      <c r="E42" s="87">
        <v>1</v>
      </c>
      <c r="F42" s="23">
        <v>-458995</v>
      </c>
      <c r="G42" s="26">
        <f t="shared" ref="G42:G48" si="12">D42+E42+F42-E41-F41</f>
        <v>-11685</v>
      </c>
      <c r="H42" s="132">
        <v>300</v>
      </c>
      <c r="I42" s="25">
        <v>800</v>
      </c>
      <c r="J42" s="25">
        <v>-200</v>
      </c>
      <c r="K42" s="170">
        <f t="shared" ref="K42:K48" si="13">+H42+I42+J42</f>
        <v>900</v>
      </c>
      <c r="L42" s="171">
        <v>-43</v>
      </c>
      <c r="M42" s="153"/>
      <c r="N42" s="149">
        <f t="shared" ref="N42:N48" si="14">L42+K42+G42+M42</f>
        <v>-10828</v>
      </c>
      <c r="O42" s="67">
        <f t="shared" ref="O42:O48" si="15">P42/T42</f>
        <v>2130688.3819444459</v>
      </c>
      <c r="P42" s="7">
        <f t="shared" si="4"/>
        <v>76704781.750000045</v>
      </c>
      <c r="Q42" s="164">
        <f t="shared" ref="Q42:Q48" si="16">Q41+N42-1</f>
        <v>2499067.4500000002</v>
      </c>
      <c r="R42" s="29">
        <f t="shared" si="3"/>
        <v>1647.0043998089307</v>
      </c>
      <c r="S42" s="5">
        <f>SUM($Q$7:$Q42)/T42+4</f>
        <v>2325454.9222222236</v>
      </c>
      <c r="T42" s="18">
        <v>36</v>
      </c>
      <c r="U42" s="27"/>
      <c r="V42" s="137"/>
      <c r="W42" s="105">
        <v>-1367597</v>
      </c>
      <c r="X42" s="167"/>
      <c r="Y42" s="156">
        <f t="shared" ref="Y42:Y48" si="17">Y41-K42-L42+1</f>
        <v>-1367597</v>
      </c>
      <c r="Z42" s="217"/>
      <c r="AD42" s="1"/>
      <c r="AE42" s="1"/>
    </row>
    <row r="43" spans="2:31">
      <c r="B43" s="116">
        <v>44028</v>
      </c>
      <c r="C43" s="14" t="str">
        <f t="shared" si="11"/>
        <v/>
      </c>
      <c r="D43" s="87"/>
      <c r="E43" s="87">
        <v>0</v>
      </c>
      <c r="F43" s="23">
        <v>-443686</v>
      </c>
      <c r="G43" s="26">
        <f t="shared" si="12"/>
        <v>15308</v>
      </c>
      <c r="H43" s="132">
        <v>-7200</v>
      </c>
      <c r="I43" s="25">
        <v>-16900</v>
      </c>
      <c r="J43" s="25">
        <v>-200</v>
      </c>
      <c r="K43" s="170">
        <f t="shared" si="13"/>
        <v>-24300</v>
      </c>
      <c r="L43" s="171">
        <v>-10</v>
      </c>
      <c r="M43" s="153"/>
      <c r="N43" s="149">
        <f t="shared" si="14"/>
        <v>-9002</v>
      </c>
      <c r="O43" s="67">
        <f t="shared" si="15"/>
        <v>2136585.2216216228</v>
      </c>
      <c r="P43" s="7">
        <f t="shared" si="4"/>
        <v>79053653.200000048</v>
      </c>
      <c r="Q43" s="164">
        <f t="shared" si="16"/>
        <v>2490064.4500000002</v>
      </c>
      <c r="R43" s="29">
        <f t="shared" si="3"/>
        <v>1650.1554159813074</v>
      </c>
      <c r="S43" s="5">
        <f>SUM($Q$7:$Q43)/T43+4</f>
        <v>2329903.9364864877</v>
      </c>
      <c r="T43" s="18">
        <v>37</v>
      </c>
      <c r="U43" s="27"/>
      <c r="V43" s="137"/>
      <c r="W43" s="105">
        <v>-1343286</v>
      </c>
      <c r="X43" s="167"/>
      <c r="Y43" s="156">
        <f t="shared" si="17"/>
        <v>-1343286</v>
      </c>
      <c r="Z43" s="217"/>
      <c r="AD43" s="1"/>
      <c r="AE43" s="1"/>
    </row>
    <row r="44" spans="2:31">
      <c r="B44" s="116">
        <v>44029</v>
      </c>
      <c r="C44" s="14" t="str">
        <f t="shared" si="11"/>
        <v/>
      </c>
      <c r="D44" s="87"/>
      <c r="E44" s="87">
        <v>3</v>
      </c>
      <c r="F44" s="23">
        <v>-452386</v>
      </c>
      <c r="G44" s="26">
        <f t="shared" si="12"/>
        <v>-8697</v>
      </c>
      <c r="H44" s="132">
        <v>300</v>
      </c>
      <c r="I44" s="25">
        <v>-17700</v>
      </c>
      <c r="J44" s="25">
        <v>-200</v>
      </c>
      <c r="K44" s="170">
        <f t="shared" si="13"/>
        <v>-17600</v>
      </c>
      <c r="L44" s="171">
        <v>26</v>
      </c>
      <c r="M44" s="153"/>
      <c r="N44" s="149">
        <f t="shared" si="14"/>
        <v>-26271</v>
      </c>
      <c r="O44" s="67">
        <f t="shared" si="15"/>
        <v>2141480.3328947383</v>
      </c>
      <c r="P44" s="7">
        <f t="shared" si="4"/>
        <v>81376252.650000051</v>
      </c>
      <c r="Q44" s="164">
        <f t="shared" si="16"/>
        <v>2463792.4500000002</v>
      </c>
      <c r="R44" s="29">
        <f t="shared" si="3"/>
        <v>1652.6509272302537</v>
      </c>
      <c r="S44" s="5">
        <f>SUM($Q$7:$Q44)/T44+4</f>
        <v>2333427.4236842119</v>
      </c>
      <c r="T44" s="18">
        <v>38</v>
      </c>
      <c r="U44" s="27"/>
      <c r="V44" s="137"/>
      <c r="W44" s="105">
        <v>-1325711</v>
      </c>
      <c r="X44" s="167"/>
      <c r="Y44" s="156">
        <f t="shared" si="17"/>
        <v>-1325711</v>
      </c>
      <c r="Z44" s="217"/>
      <c r="AD44" s="1"/>
      <c r="AE44" s="1"/>
    </row>
    <row r="45" spans="2:31">
      <c r="B45" s="116">
        <v>44030</v>
      </c>
      <c r="C45" s="14" t="str">
        <f t="shared" si="11"/>
        <v>F</v>
      </c>
      <c r="D45" s="87"/>
      <c r="E45" s="87"/>
      <c r="F45" s="23"/>
      <c r="G45" s="26"/>
      <c r="H45" s="132"/>
      <c r="I45" s="25"/>
      <c r="J45" s="25"/>
      <c r="K45" s="170">
        <f t="shared" si="13"/>
        <v>0</v>
      </c>
      <c r="L45" s="171"/>
      <c r="M45" s="153"/>
      <c r="N45" s="149">
        <f t="shared" si="14"/>
        <v>0</v>
      </c>
      <c r="O45" s="67">
        <f t="shared" si="15"/>
        <v>2146124.4128205143</v>
      </c>
      <c r="P45" s="7">
        <f t="shared" si="4"/>
        <v>83698852.100000054</v>
      </c>
      <c r="Q45" s="164">
        <f>Q44+N45</f>
        <v>2463792.4500000002</v>
      </c>
      <c r="R45" s="29">
        <f t="shared" si="3"/>
        <v>1655.0184635433559</v>
      </c>
      <c r="S45" s="5">
        <f>SUM($Q$7:$Q45)/T45+4</f>
        <v>2336770.2192307706</v>
      </c>
      <c r="T45" s="18">
        <v>39</v>
      </c>
      <c r="U45" s="27"/>
      <c r="V45" s="137"/>
      <c r="W45" s="105">
        <v>-1325711</v>
      </c>
      <c r="X45" s="167"/>
      <c r="Y45" s="156">
        <f t="shared" si="17"/>
        <v>-1325710</v>
      </c>
      <c r="Z45" s="217"/>
      <c r="AD45" s="1"/>
      <c r="AE45" s="1"/>
    </row>
    <row r="46" spans="2:31">
      <c r="B46" s="116">
        <v>44031</v>
      </c>
      <c r="C46" s="14" t="str">
        <f t="shared" si="11"/>
        <v>F</v>
      </c>
      <c r="D46" s="87"/>
      <c r="E46" s="87"/>
      <c r="F46" s="23"/>
      <c r="G46" s="26"/>
      <c r="H46" s="132"/>
      <c r="I46" s="25"/>
      <c r="J46" s="25"/>
      <c r="K46" s="170">
        <f t="shared" si="13"/>
        <v>0</v>
      </c>
      <c r="L46" s="171"/>
      <c r="M46" s="153"/>
      <c r="N46" s="149">
        <f t="shared" si="14"/>
        <v>0</v>
      </c>
      <c r="O46" s="67">
        <f t="shared" si="15"/>
        <v>2150536.2887500012</v>
      </c>
      <c r="P46" s="7">
        <f t="shared" si="4"/>
        <v>86021451.550000057</v>
      </c>
      <c r="Q46" s="164">
        <f>Q45+N46</f>
        <v>2463792.4500000002</v>
      </c>
      <c r="R46" s="29">
        <f t="shared" si="3"/>
        <v>1657.2676230408031</v>
      </c>
      <c r="S46" s="5">
        <f>SUM($Q$7:$Q46)/T46+4</f>
        <v>2339945.8750000014</v>
      </c>
      <c r="T46" s="18">
        <v>40</v>
      </c>
      <c r="U46" s="27"/>
      <c r="V46" s="137"/>
      <c r="W46" s="105">
        <v>-1325711</v>
      </c>
      <c r="X46" s="167"/>
      <c r="Y46" s="156">
        <f t="shared" si="17"/>
        <v>-1325709</v>
      </c>
      <c r="Z46" s="217"/>
      <c r="AD46" s="1"/>
      <c r="AE46" s="1"/>
    </row>
    <row r="47" spans="2:31">
      <c r="B47" s="116">
        <v>44032</v>
      </c>
      <c r="C47" s="14" t="str">
        <f t="shared" si="11"/>
        <v/>
      </c>
      <c r="D47" s="87"/>
      <c r="E47" s="87">
        <v>0</v>
      </c>
      <c r="F47" s="23">
        <v>-434959</v>
      </c>
      <c r="G47" s="26">
        <f>D47+E47+F47-E44-F44</f>
        <v>17424</v>
      </c>
      <c r="H47" s="132">
        <v>300</v>
      </c>
      <c r="I47" s="25">
        <v>-11100</v>
      </c>
      <c r="J47" s="25">
        <v>-300</v>
      </c>
      <c r="K47" s="170">
        <f t="shared" si="13"/>
        <v>-11100</v>
      </c>
      <c r="L47" s="171">
        <v>57</v>
      </c>
      <c r="M47" s="153"/>
      <c r="N47" s="149">
        <f t="shared" si="14"/>
        <v>6381</v>
      </c>
      <c r="O47" s="67">
        <f t="shared" si="15"/>
        <v>2154888.5365853673</v>
      </c>
      <c r="P47" s="7">
        <f t="shared" si="4"/>
        <v>88350430.00000006</v>
      </c>
      <c r="Q47" s="164">
        <f>Q46+N47-2</f>
        <v>2470171.4500000002</v>
      </c>
      <c r="R47" s="29">
        <f t="shared" si="3"/>
        <v>1659.5172608398166</v>
      </c>
      <c r="S47" s="5">
        <f>SUM($Q$7:$Q47)/T47+4</f>
        <v>2343122.2060975623</v>
      </c>
      <c r="T47" s="18">
        <v>41</v>
      </c>
      <c r="U47" s="27"/>
      <c r="V47" s="137"/>
      <c r="W47" s="105">
        <v>-1314665</v>
      </c>
      <c r="X47" s="167"/>
      <c r="Y47" s="156">
        <f t="shared" si="17"/>
        <v>-1314665</v>
      </c>
      <c r="Z47" s="217"/>
      <c r="AD47" s="1"/>
      <c r="AE47" s="1"/>
    </row>
    <row r="48" spans="2:31">
      <c r="B48" s="116">
        <v>44033</v>
      </c>
      <c r="C48" s="14" t="str">
        <f t="shared" si="11"/>
        <v/>
      </c>
      <c r="D48" s="87"/>
      <c r="E48" s="87">
        <v>0</v>
      </c>
      <c r="F48" s="23">
        <v>-447965</v>
      </c>
      <c r="G48" s="26">
        <f t="shared" si="12"/>
        <v>-13006</v>
      </c>
      <c r="H48" s="132">
        <v>300</v>
      </c>
      <c r="I48" s="25">
        <v>-10400</v>
      </c>
      <c r="J48" s="25">
        <v>-400</v>
      </c>
      <c r="K48" s="170">
        <f t="shared" si="13"/>
        <v>-10500</v>
      </c>
      <c r="L48" s="171">
        <v>-21</v>
      </c>
      <c r="M48" s="153"/>
      <c r="N48" s="149">
        <f t="shared" si="14"/>
        <v>-23527</v>
      </c>
      <c r="O48" s="67">
        <f t="shared" si="15"/>
        <v>2158473.3440476204</v>
      </c>
      <c r="P48" s="7">
        <f t="shared" si="4"/>
        <v>90655880.450000063</v>
      </c>
      <c r="Q48" s="164">
        <f t="shared" si="16"/>
        <v>2446643.4500000002</v>
      </c>
      <c r="R48" s="29">
        <f t="shared" si="3"/>
        <v>1661.4690529983782</v>
      </c>
      <c r="S48" s="5">
        <v>2345878</v>
      </c>
      <c r="T48" s="18">
        <v>42</v>
      </c>
      <c r="U48" s="27"/>
      <c r="V48" s="137"/>
      <c r="W48" s="105">
        <v>-1304143</v>
      </c>
      <c r="X48" s="167"/>
      <c r="Y48" s="156">
        <f t="shared" si="17"/>
        <v>-1304143</v>
      </c>
      <c r="Z48" s="217"/>
      <c r="AD48" s="1"/>
      <c r="AE48" s="1"/>
    </row>
    <row r="49" spans="2:31"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2"/>
      <c r="N49" s="181"/>
      <c r="O49" s="181"/>
      <c r="P49" s="182"/>
      <c r="Q49" s="183"/>
      <c r="R49" s="184"/>
      <c r="S49" s="6"/>
      <c r="T49" s="182"/>
      <c r="U49" s="185"/>
      <c r="V49" s="243"/>
      <c r="W49" s="187"/>
      <c r="X49" s="188"/>
      <c r="Y49" s="181"/>
      <c r="Z49" s="188"/>
      <c r="AD49" s="1"/>
      <c r="AE49" s="1"/>
    </row>
    <row r="50" spans="2:31" ht="12.75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2"/>
      <c r="N50" s="181"/>
      <c r="O50" s="181"/>
      <c r="P50" s="182"/>
      <c r="Q50" s="183"/>
      <c r="R50" s="184"/>
      <c r="S50" s="6"/>
      <c r="T50" s="182"/>
      <c r="U50" s="185"/>
      <c r="V50" s="243"/>
      <c r="W50" s="187"/>
      <c r="X50" s="188"/>
      <c r="Y50" s="181"/>
      <c r="Z50" s="188"/>
      <c r="AD50" s="1"/>
      <c r="AE50" s="1"/>
    </row>
    <row r="51" spans="2:31" ht="13.5" thickTop="1" thickBot="1">
      <c r="B51" s="193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2"/>
      <c r="N51" s="4"/>
    </row>
    <row r="52" spans="2:31" ht="12.75" thickTop="1">
      <c r="D52" s="27" t="s">
        <v>59</v>
      </c>
      <c r="E52" s="139"/>
      <c r="F52" s="142"/>
      <c r="G52" s="90">
        <f>'May 2020 '!Q41</f>
        <v>1957827.4500000002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'May 2020 '!E41</f>
        <v>14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'May 2020 '!F41</f>
        <v>-368081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'May 2020 '!W41</f>
        <v>-1313491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B1:IU65521"/>
  <sheetViews>
    <sheetView zoomScaleNormal="10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I72" sqref="I7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142384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44034</v>
      </c>
      <c r="C7" s="196" t="str">
        <f t="shared" ref="C7:C48" si="0">IF(OR(WEEKDAY(B7)=1,WEEKDAY(B7)=7),"F","")</f>
        <v/>
      </c>
      <c r="D7" s="197">
        <f>-1026+1125</f>
        <v>99</v>
      </c>
      <c r="E7" s="197">
        <v>74</v>
      </c>
      <c r="F7" s="198">
        <v>-290685</v>
      </c>
      <c r="G7" s="199">
        <f>D7+E7+F7-G68-G69</f>
        <v>157453</v>
      </c>
      <c r="H7" s="132">
        <v>-200</v>
      </c>
      <c r="I7" s="63">
        <v>10100</v>
      </c>
      <c r="J7" s="63">
        <v>-400</v>
      </c>
      <c r="K7" s="168">
        <f t="shared" ref="K7:K9" si="1">+H7+I7+J7</f>
        <v>9500</v>
      </c>
      <c r="L7" s="169">
        <v>-28</v>
      </c>
      <c r="M7" s="203"/>
      <c r="N7" s="204">
        <f>L7+K7+G7+M7</f>
        <v>166925</v>
      </c>
      <c r="O7" s="205">
        <f t="shared" ref="O7:O48" si="2">P7/T7</f>
        <v>2471227.4500000002</v>
      </c>
      <c r="P7" s="206">
        <f>(+$Q7-$Q$3)</f>
        <v>2471227.4500000002</v>
      </c>
      <c r="Q7" s="207">
        <f>G67+N7-1+44</f>
        <v>2613611.4500000002</v>
      </c>
      <c r="R7" s="208">
        <f t="shared" ref="R7:R62" si="3">$S7/$Q$3*100</f>
        <v>1835.6075471963145</v>
      </c>
      <c r="S7" s="209">
        <f>$Q7</f>
        <v>2613611.4500000002</v>
      </c>
      <c r="T7" s="210">
        <v>1</v>
      </c>
      <c r="U7" s="211">
        <f>B7</f>
        <v>44034</v>
      </c>
      <c r="V7" s="212" t="s">
        <v>340</v>
      </c>
      <c r="W7" s="213">
        <v>-1313615</v>
      </c>
      <c r="X7" s="214">
        <f>AVERAGE(W7:W11)</f>
        <v>-1330634.8</v>
      </c>
      <c r="Y7" s="215">
        <f>-L7-K7+'July 2020'!Y48</f>
        <v>-1313615</v>
      </c>
      <c r="Z7" s="216">
        <f>AVERAGE(Y7:Y13)</f>
        <v>-1340197.142857143</v>
      </c>
      <c r="AA7" s="92"/>
    </row>
    <row r="8" spans="2:255">
      <c r="B8" s="116">
        <v>44035</v>
      </c>
      <c r="C8" s="14"/>
      <c r="D8" s="128"/>
      <c r="E8" s="128">
        <v>36</v>
      </c>
      <c r="F8" s="162">
        <v>-277524</v>
      </c>
      <c r="G8" s="26">
        <f>D8+E8+F8-E7-F7</f>
        <v>13123</v>
      </c>
      <c r="H8" s="132">
        <v>-12400</v>
      </c>
      <c r="I8" s="63">
        <v>24700</v>
      </c>
      <c r="J8" s="63">
        <v>-400</v>
      </c>
      <c r="K8" s="170">
        <f t="shared" si="1"/>
        <v>11900</v>
      </c>
      <c r="L8" s="171">
        <v>-40</v>
      </c>
      <c r="M8" s="153"/>
      <c r="N8" s="149">
        <f>L8+K8+G8+M8</f>
        <v>24983</v>
      </c>
      <c r="O8" s="67">
        <f t="shared" si="2"/>
        <v>1248083.2250000001</v>
      </c>
      <c r="P8" s="163">
        <f>(IF($Q8&lt;0,-$Q$3+P6,($Q8-$Q$3)+P6))</f>
        <v>2496166.4500000002</v>
      </c>
      <c r="Q8" s="164">
        <f>Q7+N8-44</f>
        <v>2638550.4500000002</v>
      </c>
      <c r="R8" s="29">
        <f t="shared" si="3"/>
        <v>1844.3652025508484</v>
      </c>
      <c r="S8" s="165">
        <f>SUM($Q$7:$Q8)/T8</f>
        <v>2626080.9500000002</v>
      </c>
      <c r="T8" s="166">
        <v>2</v>
      </c>
      <c r="U8" s="138">
        <f>B7+6</f>
        <v>44040</v>
      </c>
      <c r="V8" s="131">
        <v>1922.9</v>
      </c>
      <c r="W8" s="105">
        <v>-1325475</v>
      </c>
      <c r="X8" s="167"/>
      <c r="Y8" s="156">
        <f>Y7-K8-L8</f>
        <v>-1325475</v>
      </c>
      <c r="Z8" s="217"/>
      <c r="AA8" s="92"/>
    </row>
    <row r="9" spans="2:255">
      <c r="B9" s="116">
        <v>44036</v>
      </c>
      <c r="C9" s="14" t="str">
        <f t="shared" si="0"/>
        <v/>
      </c>
      <c r="D9" s="87"/>
      <c r="E9" s="87">
        <v>10</v>
      </c>
      <c r="F9" s="23">
        <v>-289814</v>
      </c>
      <c r="G9" s="26">
        <f>D9+E9+F9-E8-F8</f>
        <v>-12316</v>
      </c>
      <c r="H9" s="132">
        <v>-150</v>
      </c>
      <c r="I9" s="63">
        <v>13100</v>
      </c>
      <c r="J9" s="63">
        <v>-400</v>
      </c>
      <c r="K9" s="170">
        <f t="shared" si="1"/>
        <v>12550</v>
      </c>
      <c r="L9" s="171">
        <v>1</v>
      </c>
      <c r="M9" s="153"/>
      <c r="N9" s="149">
        <f>L9+K9+G9+M9</f>
        <v>235</v>
      </c>
      <c r="O9" s="67">
        <f t="shared" si="2"/>
        <v>1655876.9666666668</v>
      </c>
      <c r="P9" s="7">
        <f>(IF($Q9&lt;0,-$Q$3+P7,($Q9-$Q$3)+P7))</f>
        <v>4967630.9000000004</v>
      </c>
      <c r="Q9" s="164">
        <f>Q8+N9+2</f>
        <v>2638787.4500000002</v>
      </c>
      <c r="R9" s="29">
        <f t="shared" si="3"/>
        <v>1847.3406070906844</v>
      </c>
      <c r="S9" s="5">
        <f>SUM($Q$7:$Q9)/T9+1</f>
        <v>2630317.4500000002</v>
      </c>
      <c r="T9" s="17">
        <v>3</v>
      </c>
      <c r="U9" s="4"/>
      <c r="V9" s="131"/>
      <c r="W9" s="105">
        <v>-1338028</v>
      </c>
      <c r="X9" s="167"/>
      <c r="Y9" s="156">
        <f>Y8-K9-L9-2</f>
        <v>-1338028</v>
      </c>
      <c r="Z9" s="217"/>
      <c r="AA9" s="92"/>
    </row>
    <row r="10" spans="2:255">
      <c r="B10" s="116">
        <v>44037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1866008.5875000001</v>
      </c>
      <c r="P10" s="7">
        <f t="shared" ref="P10:P62" si="4">(IF($Q10&lt;0,-$Q$3+P9,($Q10-$Q$3)+P9))</f>
        <v>7464034.3500000006</v>
      </c>
      <c r="Q10" s="164">
        <f t="shared" ref="Q10:Q32" si="5">Q9+N10</f>
        <v>2638787.4500000002</v>
      </c>
      <c r="R10" s="29">
        <f t="shared" si="3"/>
        <v>1848.8265535453422</v>
      </c>
      <c r="S10" s="5">
        <f>SUM($Q$7:$Q10)/T10-1</f>
        <v>2632433.2000000002</v>
      </c>
      <c r="T10" s="17">
        <v>4</v>
      </c>
      <c r="U10" s="27"/>
      <c r="V10" s="133"/>
      <c r="W10" s="105">
        <v>-1338028</v>
      </c>
      <c r="X10" s="167"/>
      <c r="Y10" s="156">
        <f>Y9-K10-L10</f>
        <v>-1338028</v>
      </c>
      <c r="Z10" s="217"/>
      <c r="AA10" s="92"/>
    </row>
    <row r="11" spans="2:255">
      <c r="B11" s="116">
        <v>44038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1992087.56</v>
      </c>
      <c r="P11" s="7">
        <f t="shared" si="4"/>
        <v>9960437.8000000007</v>
      </c>
      <c r="Q11" s="164">
        <f t="shared" si="5"/>
        <v>2638787.4500000002</v>
      </c>
      <c r="R11" s="29">
        <f t="shared" si="3"/>
        <v>1849.7252851443982</v>
      </c>
      <c r="S11" s="5">
        <f>SUM($Q$7:$Q11)/T11+8</f>
        <v>2633712.85</v>
      </c>
      <c r="T11" s="17">
        <v>5</v>
      </c>
      <c r="U11" s="27"/>
      <c r="V11" s="134"/>
      <c r="W11" s="105">
        <v>-1338028</v>
      </c>
      <c r="X11" s="167"/>
      <c r="Y11" s="156">
        <f t="shared" ref="Y11:Y39" si="7">Y10-K11-L11</f>
        <v>-1338028</v>
      </c>
      <c r="Z11" s="217"/>
      <c r="AA11" s="92"/>
    </row>
    <row r="12" spans="2:255">
      <c r="B12" s="116">
        <v>44039</v>
      </c>
      <c r="C12" s="14" t="str">
        <f t="shared" si="0"/>
        <v/>
      </c>
      <c r="D12" s="87"/>
      <c r="E12" s="161">
        <v>90</v>
      </c>
      <c r="F12" s="23">
        <v>-305514</v>
      </c>
      <c r="G12" s="26">
        <f>D12+E12+F12-E9-F9</f>
        <v>-15620</v>
      </c>
      <c r="H12" s="132">
        <v>300</v>
      </c>
      <c r="I12" s="63">
        <v>21950</v>
      </c>
      <c r="J12" s="63">
        <v>-600</v>
      </c>
      <c r="K12" s="170">
        <f t="shared" ref="K12:K48" si="8">+H12+I12+J12</f>
        <v>21650</v>
      </c>
      <c r="L12" s="171">
        <v>2</v>
      </c>
      <c r="M12" s="153"/>
      <c r="N12" s="149">
        <f t="shared" si="6"/>
        <v>6032</v>
      </c>
      <c r="O12" s="67">
        <f t="shared" si="2"/>
        <v>2077145.5416666667</v>
      </c>
      <c r="P12" s="7">
        <f t="shared" si="4"/>
        <v>12462873.25</v>
      </c>
      <c r="Q12" s="164">
        <f>Q11+N12</f>
        <v>2644819.4500000002</v>
      </c>
      <c r="R12" s="29">
        <f t="shared" si="3"/>
        <v>1851.0255951043189</v>
      </c>
      <c r="S12" s="5">
        <f>SUM($Q$7:$Q12)/T12+7</f>
        <v>2635564.2833333332</v>
      </c>
      <c r="T12" s="17">
        <v>6</v>
      </c>
      <c r="U12" s="138">
        <f>B12</f>
        <v>44039</v>
      </c>
      <c r="V12" s="131" t="s">
        <v>342</v>
      </c>
      <c r="W12" s="105">
        <v>-1359679</v>
      </c>
      <c r="X12" s="167">
        <f>AVERAGE(W12:W20)</f>
        <v>-1399008.2222222222</v>
      </c>
      <c r="Y12" s="156">
        <f>Y11-K12-L12+1</f>
        <v>-1359679</v>
      </c>
      <c r="Z12" s="217">
        <f>AVERAGE(Y12:Y20)</f>
        <v>-1399008.2222222222</v>
      </c>
      <c r="AA12" s="92"/>
    </row>
    <row r="13" spans="2:255">
      <c r="B13" s="116">
        <v>44040</v>
      </c>
      <c r="C13" s="14"/>
      <c r="D13" s="87"/>
      <c r="E13" s="87">
        <v>95</v>
      </c>
      <c r="F13" s="23">
        <v>-300018</v>
      </c>
      <c r="G13" s="26">
        <f>D13+E13+F13-E12-F12</f>
        <v>5501</v>
      </c>
      <c r="H13" s="132">
        <v>300</v>
      </c>
      <c r="I13" s="63">
        <v>9100</v>
      </c>
      <c r="J13" s="63">
        <v>-600</v>
      </c>
      <c r="K13" s="170">
        <f t="shared" si="8"/>
        <v>8800</v>
      </c>
      <c r="L13" s="171">
        <v>47</v>
      </c>
      <c r="M13" s="153"/>
      <c r="N13" s="149">
        <f t="shared" si="6"/>
        <v>14348</v>
      </c>
      <c r="O13" s="67">
        <f t="shared" si="2"/>
        <v>2139950.8142857142</v>
      </c>
      <c r="P13" s="7">
        <f>(IF($Q13&lt;0,-$Q$3+P12,($Q13-$Q$3)+P12))</f>
        <v>14979655.699999999</v>
      </c>
      <c r="Q13" s="164">
        <f>Q12+N13-1</f>
        <v>2659166.4500000002</v>
      </c>
      <c r="R13" s="29">
        <f t="shared" si="3"/>
        <v>1853.3936547846465</v>
      </c>
      <c r="S13" s="5">
        <f>SUM($Q$7:$Q13)/T13+6</f>
        <v>2638936.0214285711</v>
      </c>
      <c r="T13" s="17">
        <v>7</v>
      </c>
      <c r="U13" s="138">
        <f>B14+6</f>
        <v>44047</v>
      </c>
      <c r="V13" s="249">
        <v>1859.2</v>
      </c>
      <c r="W13" s="105">
        <v>-1368527</v>
      </c>
      <c r="X13" s="167"/>
      <c r="Y13" s="156">
        <f>Y12-K13-L13-1</f>
        <v>-1368527</v>
      </c>
      <c r="Z13" s="217"/>
      <c r="AA13" s="92"/>
      <c r="AB13" s="92"/>
    </row>
    <row r="14" spans="2:255">
      <c r="B14" s="116">
        <v>44041</v>
      </c>
      <c r="C14" s="14"/>
      <c r="D14" s="87">
        <f>-1125+1144</f>
        <v>19</v>
      </c>
      <c r="E14" s="87">
        <v>70</v>
      </c>
      <c r="F14" s="23">
        <v>-301521</v>
      </c>
      <c r="G14" s="26">
        <f>D14+E14+F14-E13-F13</f>
        <v>-1509</v>
      </c>
      <c r="H14" s="132">
        <v>300</v>
      </c>
      <c r="I14" s="63">
        <v>7740</v>
      </c>
      <c r="J14" s="63">
        <v>-600</v>
      </c>
      <c r="K14" s="170">
        <f t="shared" si="8"/>
        <v>7440</v>
      </c>
      <c r="L14" s="171">
        <v>-6</v>
      </c>
      <c r="M14" s="154"/>
      <c r="N14" s="149">
        <f>L14+K14+G14+M14</f>
        <v>5925</v>
      </c>
      <c r="O14" s="67">
        <f t="shared" si="2"/>
        <v>2187795.2687499998</v>
      </c>
      <c r="P14" s="7">
        <f t="shared" si="4"/>
        <v>17502362.149999999</v>
      </c>
      <c r="Q14" s="164">
        <f>Q13+N14-1</f>
        <v>2665090.4500000002</v>
      </c>
      <c r="R14" s="29">
        <f t="shared" si="3"/>
        <v>1855.6895964434204</v>
      </c>
      <c r="S14" s="5">
        <f>SUM($Q$7:$Q14)/T14+5</f>
        <v>2642205.0749999997</v>
      </c>
      <c r="T14" s="17">
        <v>8</v>
      </c>
      <c r="U14" s="4"/>
      <c r="V14" s="4"/>
      <c r="W14" s="105">
        <v>-1375959</v>
      </c>
      <c r="X14" s="167"/>
      <c r="Y14" s="156">
        <f>Y13-K14-L14+2</f>
        <v>-1375959</v>
      </c>
      <c r="Z14" s="217"/>
      <c r="AA14" s="92"/>
    </row>
    <row r="15" spans="2:255">
      <c r="B15" s="116">
        <v>44042</v>
      </c>
      <c r="C15" s="14" t="str">
        <f t="shared" si="0"/>
        <v/>
      </c>
      <c r="D15" s="87">
        <f>-694+147.5</f>
        <v>-546.5</v>
      </c>
      <c r="E15" s="87">
        <v>154</v>
      </c>
      <c r="F15" s="23">
        <v>-315988</v>
      </c>
      <c r="G15" s="26">
        <f>D15+E15+F15-E14-F14</f>
        <v>-14929.5</v>
      </c>
      <c r="H15" s="132">
        <v>300</v>
      </c>
      <c r="I15" s="63">
        <v>16350</v>
      </c>
      <c r="J15" s="63">
        <v>-700</v>
      </c>
      <c r="K15" s="170">
        <f t="shared" si="8"/>
        <v>15950</v>
      </c>
      <c r="L15" s="172">
        <v>29</v>
      </c>
      <c r="M15" s="153"/>
      <c r="N15" s="149">
        <f>L15+K15+G15+M15</f>
        <v>1049.5</v>
      </c>
      <c r="O15" s="67">
        <f t="shared" si="2"/>
        <v>2225125.3444444444</v>
      </c>
      <c r="P15" s="7">
        <f t="shared" si="4"/>
        <v>20026128.099999998</v>
      </c>
      <c r="Q15" s="164">
        <f>Q14+N15+2+8</f>
        <v>2666149.9500000002</v>
      </c>
      <c r="R15" s="29">
        <f t="shared" si="3"/>
        <v>1857.5585544880194</v>
      </c>
      <c r="S15" s="5">
        <f>SUM($Q$7:$Q15)/T15+5</f>
        <v>2644866.1722222217</v>
      </c>
      <c r="T15" s="17">
        <v>9</v>
      </c>
      <c r="U15" s="4"/>
      <c r="V15" s="4"/>
      <c r="W15" s="105">
        <v>-1391939</v>
      </c>
      <c r="X15" s="167"/>
      <c r="Y15" s="156">
        <f>Y14-K15-L15-1</f>
        <v>-1391939</v>
      </c>
      <c r="Z15" s="217"/>
      <c r="AA15" s="92"/>
      <c r="AB15" s="92"/>
    </row>
    <row r="16" spans="2:255" s="69" customFormat="1">
      <c r="B16" s="116">
        <v>44043</v>
      </c>
      <c r="C16" s="14" t="str">
        <f t="shared" si="0"/>
        <v/>
      </c>
      <c r="D16" s="129"/>
      <c r="E16" s="87">
        <v>0</v>
      </c>
      <c r="F16" s="23">
        <v>-347407</v>
      </c>
      <c r="G16" s="26">
        <f>D16+E16+F16-E15-F15</f>
        <v>-31573</v>
      </c>
      <c r="H16" s="132">
        <v>300</v>
      </c>
      <c r="I16" s="63">
        <v>16300</v>
      </c>
      <c r="J16" s="63">
        <v>-700</v>
      </c>
      <c r="K16" s="170">
        <f t="shared" si="8"/>
        <v>15900</v>
      </c>
      <c r="L16" s="172">
        <v>-28</v>
      </c>
      <c r="M16" s="153"/>
      <c r="N16" s="152">
        <f>L16+K16+G16+M16</f>
        <v>-15701</v>
      </c>
      <c r="O16" s="67">
        <f t="shared" si="2"/>
        <v>2253418.5049999999</v>
      </c>
      <c r="P16" s="70">
        <f t="shared" si="4"/>
        <v>22534185.049999997</v>
      </c>
      <c r="Q16" s="164">
        <f>Q15+N16-8</f>
        <v>2650440.9500000002</v>
      </c>
      <c r="R16" s="71">
        <f t="shared" si="3"/>
        <v>1857.946925216316</v>
      </c>
      <c r="S16" s="72">
        <f>SUM($Q$7:$Q16)/T16</f>
        <v>2645419.1499999994</v>
      </c>
      <c r="T16" s="73">
        <v>10</v>
      </c>
      <c r="U16" s="218"/>
      <c r="V16" s="133"/>
      <c r="W16" s="105">
        <v>-1407812</v>
      </c>
      <c r="X16" s="167"/>
      <c r="Y16" s="156">
        <f>Y15-K16-L16-1</f>
        <v>-1407812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44044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2276567.4545454541</v>
      </c>
      <c r="P17" s="7">
        <f t="shared" si="4"/>
        <v>25042241.999999996</v>
      </c>
      <c r="Q17" s="164">
        <f t="shared" si="5"/>
        <v>2650440.9500000002</v>
      </c>
      <c r="R17" s="29">
        <f t="shared" si="3"/>
        <v>1858.2675562371662</v>
      </c>
      <c r="S17" s="5">
        <f>SUM($Q$7:$Q17)/T17</f>
        <v>2645875.6772727268</v>
      </c>
      <c r="T17" s="18">
        <v>11</v>
      </c>
      <c r="U17" s="27"/>
      <c r="V17" s="136"/>
      <c r="W17" s="105">
        <v>-1407812</v>
      </c>
      <c r="X17" s="167"/>
      <c r="Y17" s="156">
        <f t="shared" si="7"/>
        <v>-1407812</v>
      </c>
      <c r="Z17" s="217"/>
      <c r="AA17" s="92"/>
      <c r="AC17" s="92"/>
    </row>
    <row r="18" spans="2:31">
      <c r="B18" s="116">
        <v>44045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2295858.2458333331</v>
      </c>
      <c r="P18" s="7">
        <f t="shared" si="4"/>
        <v>27550298.949999996</v>
      </c>
      <c r="Q18" s="164">
        <f t="shared" si="5"/>
        <v>2650440.9500000002</v>
      </c>
      <c r="R18" s="29">
        <f t="shared" si="3"/>
        <v>1858.5375580589578</v>
      </c>
      <c r="S18" s="5">
        <f>SUM($Q$7:$Q18)/T18+4</f>
        <v>2646260.1166666662</v>
      </c>
      <c r="T18" s="18">
        <v>12</v>
      </c>
      <c r="U18" s="27"/>
      <c r="V18" s="136"/>
      <c r="W18" s="105">
        <v>-1407812</v>
      </c>
      <c r="X18" s="167"/>
      <c r="Y18" s="156">
        <f t="shared" si="7"/>
        <v>-1407812</v>
      </c>
      <c r="Z18" s="217"/>
      <c r="AA18" s="92"/>
    </row>
    <row r="19" spans="2:31">
      <c r="B19" s="116">
        <v>44046</v>
      </c>
      <c r="C19" s="14" t="str">
        <f t="shared" si="0"/>
        <v/>
      </c>
      <c r="D19" s="87"/>
      <c r="E19" s="87">
        <v>0</v>
      </c>
      <c r="F19" s="23">
        <v>-351503</v>
      </c>
      <c r="G19" s="26">
        <f>D19+E19+F19-E16-F16</f>
        <v>-4096</v>
      </c>
      <c r="H19" s="132">
        <v>9300</v>
      </c>
      <c r="I19" s="63">
        <v>15100</v>
      </c>
      <c r="J19" s="63">
        <v>-700</v>
      </c>
      <c r="K19" s="170">
        <f t="shared" si="8"/>
        <v>23700</v>
      </c>
      <c r="L19" s="171">
        <v>22</v>
      </c>
      <c r="M19" s="153"/>
      <c r="N19" s="149">
        <f t="shared" si="6"/>
        <v>19626</v>
      </c>
      <c r="O19" s="67">
        <f t="shared" si="2"/>
        <v>2313690.9923076918</v>
      </c>
      <c r="P19" s="7">
        <f t="shared" si="4"/>
        <v>30077982.899999995</v>
      </c>
      <c r="Q19" s="164">
        <f>Q18+N19+1</f>
        <v>2670067.9500000002</v>
      </c>
      <c r="R19" s="29">
        <f t="shared" si="3"/>
        <v>1859.8239943770689</v>
      </c>
      <c r="S19" s="5">
        <f>SUM($Q$7:$Q19)/T19+4</f>
        <v>2648091.7961538457</v>
      </c>
      <c r="T19" s="18">
        <v>13</v>
      </c>
      <c r="U19" s="138">
        <f>B19</f>
        <v>44046</v>
      </c>
      <c r="V19" s="131" t="s">
        <v>343</v>
      </c>
      <c r="W19" s="105">
        <v>-1431535</v>
      </c>
      <c r="X19" s="167">
        <f>AVERAGE(W19:W27)</f>
        <v>-1429005.5555555555</v>
      </c>
      <c r="Y19" s="156">
        <f>Y18-K19-L19-1</f>
        <v>-1431535</v>
      </c>
      <c r="Z19" s="217">
        <f>AVERAGE(Y19:Y27)</f>
        <v>-1429005.5555555555</v>
      </c>
      <c r="AA19" s="92"/>
    </row>
    <row r="20" spans="2:31">
      <c r="B20" s="116">
        <v>44047</v>
      </c>
      <c r="C20" s="14"/>
      <c r="D20" s="87"/>
      <c r="E20" s="87">
        <v>1</v>
      </c>
      <c r="F20" s="23">
        <v>-368039</v>
      </c>
      <c r="G20" s="26">
        <f>D20+E20+F20-E19-F19</f>
        <v>-16535</v>
      </c>
      <c r="H20" s="132">
        <v>300</v>
      </c>
      <c r="I20" s="63">
        <v>8900</v>
      </c>
      <c r="J20" s="63">
        <v>-700</v>
      </c>
      <c r="K20" s="170">
        <f t="shared" si="8"/>
        <v>8500</v>
      </c>
      <c r="L20" s="171">
        <v>-35</v>
      </c>
      <c r="M20" s="153"/>
      <c r="N20" s="149">
        <f t="shared" si="6"/>
        <v>-8070</v>
      </c>
      <c r="O20" s="67">
        <f t="shared" si="2"/>
        <v>2328399.7035714281</v>
      </c>
      <c r="P20" s="7">
        <f t="shared" si="4"/>
        <v>32597595.849999994</v>
      </c>
      <c r="Q20" s="164">
        <f>Q19+N20-1</f>
        <v>2661996.9500000002</v>
      </c>
      <c r="R20" s="29">
        <f t="shared" si="3"/>
        <v>1860.5210607532147</v>
      </c>
      <c r="S20" s="5">
        <f>SUM($Q$7:$Q20)/T20+3</f>
        <v>2649084.307142857</v>
      </c>
      <c r="T20" s="18">
        <v>14</v>
      </c>
      <c r="U20" s="138">
        <f>B19+8</f>
        <v>44054</v>
      </c>
      <c r="V20" s="131">
        <v>1813.4</v>
      </c>
      <c r="W20" s="105">
        <v>-1439999</v>
      </c>
      <c r="X20" s="167"/>
      <c r="Y20" s="156">
        <f>Y19-K20-L20+1</f>
        <v>-1439999</v>
      </c>
      <c r="Z20" s="217"/>
      <c r="AA20" s="92"/>
      <c r="AB20" s="92"/>
    </row>
    <row r="21" spans="2:31">
      <c r="B21" s="116">
        <v>44048</v>
      </c>
      <c r="C21" s="14" t="str">
        <f t="shared" si="0"/>
        <v/>
      </c>
      <c r="D21" s="87">
        <f>-1144+954</f>
        <v>-190</v>
      </c>
      <c r="E21" s="87">
        <v>1</v>
      </c>
      <c r="F21" s="23">
        <v>-358857</v>
      </c>
      <c r="G21" s="26">
        <f>D21+E21+F21-E20-F20</f>
        <v>8992</v>
      </c>
      <c r="H21" s="132">
        <v>300</v>
      </c>
      <c r="I21" s="63">
        <v>200</v>
      </c>
      <c r="J21" s="63">
        <v>-800</v>
      </c>
      <c r="K21" s="170">
        <f t="shared" si="8"/>
        <v>-300</v>
      </c>
      <c r="L21" s="171">
        <v>5</v>
      </c>
      <c r="M21" s="153"/>
      <c r="N21" s="149">
        <f>L21+K21+G21+M21</f>
        <v>8697</v>
      </c>
      <c r="O21" s="67">
        <f t="shared" si="2"/>
        <v>2341727.1199999996</v>
      </c>
      <c r="P21" s="7">
        <f t="shared" si="4"/>
        <v>35125906.799999997</v>
      </c>
      <c r="Q21" s="164">
        <f>Q20+N21+1</f>
        <v>2670694.9500000002</v>
      </c>
      <c r="R21" s="29">
        <f t="shared" si="3"/>
        <v>1861.5330491253701</v>
      </c>
      <c r="S21" s="5">
        <f>SUM($Q$7:$Q21)/T21+3</f>
        <v>2650525.2166666668</v>
      </c>
      <c r="T21" s="18">
        <v>15</v>
      </c>
      <c r="U21" s="4"/>
      <c r="V21" s="131"/>
      <c r="W21" s="105">
        <v>-1439705</v>
      </c>
      <c r="X21" s="167"/>
      <c r="Y21" s="156">
        <f>Y20-K21-L21-1</f>
        <v>-1439705</v>
      </c>
      <c r="Z21" s="217"/>
      <c r="AA21" s="92"/>
    </row>
    <row r="22" spans="2:31">
      <c r="B22" s="116">
        <v>44049</v>
      </c>
      <c r="C22" s="14" t="str">
        <f t="shared" si="0"/>
        <v/>
      </c>
      <c r="D22" s="87">
        <v>5684</v>
      </c>
      <c r="E22" s="87">
        <v>81</v>
      </c>
      <c r="F22" s="23">
        <v>-361174</v>
      </c>
      <c r="G22" s="26">
        <f>D22+E22+F22-E21-F21</f>
        <v>3447</v>
      </c>
      <c r="H22" s="132">
        <v>300</v>
      </c>
      <c r="I22" s="63">
        <v>-600</v>
      </c>
      <c r="J22" s="63">
        <v>-800</v>
      </c>
      <c r="K22" s="170">
        <f t="shared" si="8"/>
        <v>-1100</v>
      </c>
      <c r="L22" s="171">
        <v>39</v>
      </c>
      <c r="M22" s="153"/>
      <c r="N22" s="149">
        <f>L22+K22+G22+M22</f>
        <v>2386</v>
      </c>
      <c r="O22" s="67">
        <f t="shared" si="2"/>
        <v>2353537.671875</v>
      </c>
      <c r="P22" s="7">
        <f t="shared" si="4"/>
        <v>37656602.75</v>
      </c>
      <c r="Q22" s="164">
        <f>Q21+N22-1</f>
        <v>2673079.9500000002</v>
      </c>
      <c r="R22" s="29">
        <f t="shared" si="3"/>
        <v>1862.5232294358916</v>
      </c>
      <c r="S22" s="5">
        <f>SUM($Q$7:$Q22)/T22+3</f>
        <v>2651935.0750000002</v>
      </c>
      <c r="T22" s="18">
        <v>16</v>
      </c>
      <c r="U22" s="4"/>
      <c r="V22" s="131"/>
      <c r="W22" s="105">
        <v>-1438643</v>
      </c>
      <c r="X22" s="167"/>
      <c r="Y22" s="156">
        <f>Y21-K22-L22+1</f>
        <v>-1438643</v>
      </c>
      <c r="Z22" s="217"/>
      <c r="AA22" s="92"/>
    </row>
    <row r="23" spans="2:31">
      <c r="B23" s="116">
        <v>44050</v>
      </c>
      <c r="C23" s="14" t="str">
        <f t="shared" si="0"/>
        <v/>
      </c>
      <c r="D23" s="87"/>
      <c r="E23" s="87">
        <v>0</v>
      </c>
      <c r="F23" s="23">
        <v>-376243</v>
      </c>
      <c r="G23" s="26">
        <f t="shared" ref="G23" si="9">D23+E23+F23-E22-F22</f>
        <v>-15150</v>
      </c>
      <c r="H23" s="132">
        <v>300</v>
      </c>
      <c r="I23" s="63">
        <v>17300</v>
      </c>
      <c r="J23" s="63">
        <v>-800</v>
      </c>
      <c r="K23" s="170">
        <f>+H23+I23+J23</f>
        <v>16800</v>
      </c>
      <c r="L23" s="171">
        <v>34</v>
      </c>
      <c r="M23" s="153"/>
      <c r="N23" s="149">
        <f>L23+K23+G23+M23</f>
        <v>1684</v>
      </c>
      <c r="O23" s="67">
        <f t="shared" si="2"/>
        <v>2364057.9235294121</v>
      </c>
      <c r="P23" s="7">
        <f t="shared" si="4"/>
        <v>40188984.700000003</v>
      </c>
      <c r="Q23" s="164">
        <f>Q22+N23+1+1</f>
        <v>2674765.9500000002</v>
      </c>
      <c r="R23" s="29">
        <f t="shared" si="3"/>
        <v>1863.4644651910658</v>
      </c>
      <c r="S23" s="5">
        <f>SUM($Q$7:$Q23)/T23</f>
        <v>2653275.2441176474</v>
      </c>
      <c r="T23" s="18">
        <v>17</v>
      </c>
      <c r="U23" s="27"/>
      <c r="V23" s="135"/>
      <c r="W23" s="105">
        <v>-1455478</v>
      </c>
      <c r="X23" s="167"/>
      <c r="Y23" s="156">
        <f>Y22-K23-L23-1</f>
        <v>-1455478</v>
      </c>
      <c r="Z23" s="217"/>
      <c r="AA23" s="92"/>
    </row>
    <row r="24" spans="2:31">
      <c r="B24" s="116">
        <v>44051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2373409.2583333338</v>
      </c>
      <c r="P24" s="7">
        <f t="shared" si="4"/>
        <v>42721366.650000006</v>
      </c>
      <c r="Q24" s="164">
        <f t="shared" si="5"/>
        <v>2674765.9500000002</v>
      </c>
      <c r="R24" s="29">
        <f t="shared" si="3"/>
        <v>1864.3029920652762</v>
      </c>
      <c r="S24" s="5">
        <f>SUM($Q$7:$Q24)/T24</f>
        <v>2654469.1722222227</v>
      </c>
      <c r="T24" s="18">
        <v>18</v>
      </c>
      <c r="U24" s="4"/>
      <c r="V24" s="135"/>
      <c r="W24" s="105">
        <v>-1455478</v>
      </c>
      <c r="X24" s="167"/>
      <c r="Y24" s="156">
        <f t="shared" si="7"/>
        <v>-1455478</v>
      </c>
      <c r="Z24" s="217"/>
      <c r="AA24" s="92"/>
      <c r="AD24" s="1"/>
      <c r="AE24" s="1"/>
    </row>
    <row r="25" spans="2:31">
      <c r="B25" s="116">
        <v>44052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2381776.2421052638</v>
      </c>
      <c r="P25" s="7">
        <f t="shared" si="4"/>
        <v>45253748.600000009</v>
      </c>
      <c r="Q25" s="164">
        <f t="shared" si="5"/>
        <v>2674765.9500000002</v>
      </c>
      <c r="R25" s="29">
        <f t="shared" si="3"/>
        <v>1865.0518483005189</v>
      </c>
      <c r="S25" s="5">
        <f>SUM($Q$7:$Q25)/T25-2</f>
        <v>2655535.423684211</v>
      </c>
      <c r="T25" s="18">
        <v>19</v>
      </c>
      <c r="U25" s="4"/>
      <c r="V25" s="131"/>
      <c r="W25" s="105">
        <v>-1455478</v>
      </c>
      <c r="X25" s="167"/>
      <c r="Y25" s="156">
        <f t="shared" si="7"/>
        <v>-1455478</v>
      </c>
      <c r="Z25" s="217"/>
      <c r="AA25" s="92"/>
      <c r="AD25" s="1"/>
      <c r="AE25" s="1"/>
    </row>
    <row r="26" spans="2:31">
      <c r="B26" s="116">
        <v>44053</v>
      </c>
      <c r="C26" s="14" t="str">
        <f t="shared" si="0"/>
        <v/>
      </c>
      <c r="D26" s="87"/>
      <c r="E26" s="87">
        <v>0</v>
      </c>
      <c r="F26" s="23">
        <v>-397314</v>
      </c>
      <c r="G26" s="26">
        <f>D26+E26+F26-E23-F23</f>
        <v>-21071</v>
      </c>
      <c r="H26" s="132">
        <v>300</v>
      </c>
      <c r="I26" s="63">
        <v>-5300</v>
      </c>
      <c r="J26" s="63">
        <v>-200</v>
      </c>
      <c r="K26" s="170">
        <f>+H26+I26+J26</f>
        <v>-5200</v>
      </c>
      <c r="L26" s="171">
        <v>8</v>
      </c>
      <c r="M26" s="153"/>
      <c r="N26" s="149">
        <f t="shared" si="6"/>
        <v>-26263</v>
      </c>
      <c r="O26" s="67">
        <f t="shared" si="2"/>
        <v>2387993.2775000008</v>
      </c>
      <c r="P26" s="7">
        <f t="shared" si="4"/>
        <v>47759865.550000012</v>
      </c>
      <c r="Q26" s="164">
        <f>Q25+N26-2</f>
        <v>2648500.9500000002</v>
      </c>
      <c r="R26" s="29">
        <f t="shared" si="3"/>
        <v>1864.8054556691768</v>
      </c>
      <c r="S26" s="5">
        <f>SUM($Q$7:$Q26)/T26-1</f>
        <v>2655184.6000000006</v>
      </c>
      <c r="T26" s="18">
        <v>20</v>
      </c>
      <c r="U26" s="138">
        <f>B26</f>
        <v>44053</v>
      </c>
      <c r="V26" s="131" t="s">
        <v>344</v>
      </c>
      <c r="W26" s="105">
        <v>-1450284</v>
      </c>
      <c r="X26" s="167">
        <f>AVERAGE(W26:W34)</f>
        <v>-1423896.888888889</v>
      </c>
      <c r="Y26" s="156">
        <f>Y25-K26-L26+2</f>
        <v>-1450284</v>
      </c>
      <c r="Z26" s="217">
        <f>AVERAGE(Y26:Y34)</f>
        <v>-1423896.888888889</v>
      </c>
      <c r="AC26" s="92"/>
      <c r="AD26" s="1"/>
      <c r="AE26" s="1"/>
    </row>
    <row r="27" spans="2:31">
      <c r="B27" s="116">
        <v>44054</v>
      </c>
      <c r="C27" s="14" t="str">
        <f t="shared" si="0"/>
        <v/>
      </c>
      <c r="D27" s="87"/>
      <c r="E27" s="87">
        <v>22</v>
      </c>
      <c r="F27" s="23">
        <v>-84507</v>
      </c>
      <c r="G27" s="26">
        <f>D27+E27+F27-E26-F26</f>
        <v>312829</v>
      </c>
      <c r="H27" s="132">
        <v>300</v>
      </c>
      <c r="I27" s="63">
        <v>-155900</v>
      </c>
      <c r="J27" s="63">
        <v>-200</v>
      </c>
      <c r="K27" s="170">
        <f t="shared" si="8"/>
        <v>-155800</v>
      </c>
      <c r="L27" s="171">
        <v>-35</v>
      </c>
      <c r="M27" s="153"/>
      <c r="N27" s="149">
        <f>L27+K27+G27+M27</f>
        <v>156994</v>
      </c>
      <c r="O27" s="67">
        <f t="shared" si="2"/>
        <v>2408290.1190476199</v>
      </c>
      <c r="P27" s="7">
        <f t="shared" si="4"/>
        <v>50574092.500000015</v>
      </c>
      <c r="Q27" s="164">
        <f>Q26+N27+151116</f>
        <v>2956610.95</v>
      </c>
      <c r="R27" s="29">
        <f t="shared" si="3"/>
        <v>1874.8863552753392</v>
      </c>
      <c r="S27" s="5">
        <f>SUM($Q$7:$Q27)/T27-1</f>
        <v>2669538.188095239</v>
      </c>
      <c r="T27" s="18">
        <v>21</v>
      </c>
      <c r="U27" s="138">
        <f>B28+6</f>
        <v>44061</v>
      </c>
      <c r="V27" s="159">
        <v>1853.9</v>
      </c>
      <c r="W27" s="105">
        <v>-1294450</v>
      </c>
      <c r="X27" s="167"/>
      <c r="Y27" s="156">
        <f>Y26-K27-L27-1</f>
        <v>-1294450</v>
      </c>
      <c r="Z27" s="217"/>
      <c r="AA27" s="92"/>
      <c r="AD27" s="1"/>
      <c r="AE27" s="1"/>
    </row>
    <row r="28" spans="2:31">
      <c r="B28" s="116">
        <v>44055</v>
      </c>
      <c r="C28" s="14" t="str">
        <f t="shared" si="0"/>
        <v/>
      </c>
      <c r="D28" s="87">
        <f>-954+1005</f>
        <v>51</v>
      </c>
      <c r="E28" s="87">
        <v>3</v>
      </c>
      <c r="F28" s="23">
        <v>-415147</v>
      </c>
      <c r="G28" s="26">
        <f>D28+E28+F28-E27-F27</f>
        <v>-330608</v>
      </c>
      <c r="H28" s="132">
        <v>300</v>
      </c>
      <c r="I28" s="63">
        <v>152200</v>
      </c>
      <c r="J28" s="63">
        <v>-200</v>
      </c>
      <c r="K28" s="170">
        <f t="shared" si="8"/>
        <v>152300</v>
      </c>
      <c r="L28" s="171">
        <v>31</v>
      </c>
      <c r="M28" s="153"/>
      <c r="N28" s="149">
        <f>L28+K28+G28+M28</f>
        <v>-178277</v>
      </c>
      <c r="O28" s="67">
        <f t="shared" si="2"/>
        <v>2411769.3386363643</v>
      </c>
      <c r="P28" s="7">
        <f t="shared" si="4"/>
        <v>53058925.450000018</v>
      </c>
      <c r="Q28" s="164">
        <f>Q27+N28-1-151116</f>
        <v>2627216.9500000002</v>
      </c>
      <c r="R28" s="29">
        <f t="shared" si="3"/>
        <v>1873.5352637936855</v>
      </c>
      <c r="S28" s="5">
        <f>SUM($Q$7:$Q28)/T28-1</f>
        <v>2667614.4500000011</v>
      </c>
      <c r="T28" s="18">
        <v>22</v>
      </c>
      <c r="U28" s="4"/>
      <c r="V28" s="131"/>
      <c r="W28" s="105">
        <v>-1446781</v>
      </c>
      <c r="X28" s="167"/>
      <c r="Y28" s="156">
        <f>Y27-K28-L28</f>
        <v>-1446781</v>
      </c>
      <c r="Z28" s="217"/>
      <c r="AA28" s="92"/>
      <c r="AD28" s="1"/>
      <c r="AE28" s="1"/>
    </row>
    <row r="29" spans="2:31">
      <c r="B29" s="116">
        <v>44056</v>
      </c>
      <c r="C29" s="14" t="str">
        <f t="shared" si="0"/>
        <v/>
      </c>
      <c r="D29" s="87"/>
      <c r="E29" s="87">
        <v>0</v>
      </c>
      <c r="F29" s="23">
        <v>-449309</v>
      </c>
      <c r="G29" s="26">
        <f>D29+E29+F29-E28-F28</f>
        <v>-34165</v>
      </c>
      <c r="H29" s="132">
        <v>300</v>
      </c>
      <c r="I29" s="63">
        <v>-7000</v>
      </c>
      <c r="J29" s="63">
        <v>-300</v>
      </c>
      <c r="K29" s="170">
        <f t="shared" si="8"/>
        <v>-7000</v>
      </c>
      <c r="L29" s="171">
        <v>32</v>
      </c>
      <c r="M29" s="153"/>
      <c r="N29" s="149">
        <f>L29+K29+G29+M29</f>
        <v>-41133</v>
      </c>
      <c r="O29" s="67">
        <f t="shared" si="2"/>
        <v>2413157.75652174</v>
      </c>
      <c r="P29" s="7">
        <f t="shared" si="4"/>
        <v>55502628.400000021</v>
      </c>
      <c r="Q29" s="164">
        <f>Q28+N29+3</f>
        <v>2586086.9500000002</v>
      </c>
      <c r="R29" s="29">
        <f t="shared" si="3"/>
        <v>1871.0457162382688</v>
      </c>
      <c r="S29" s="5">
        <f>SUM($Q$7:$Q29)/T29-1</f>
        <v>2664069.7326086969</v>
      </c>
      <c r="T29" s="18">
        <v>23</v>
      </c>
      <c r="U29" s="4"/>
      <c r="V29" s="131"/>
      <c r="W29" s="105">
        <v>-1439815</v>
      </c>
      <c r="X29" s="167"/>
      <c r="Y29" s="156">
        <f>Y28-K29-L29-2</f>
        <v>-1439815</v>
      </c>
      <c r="Z29" s="217"/>
      <c r="AA29" s="92"/>
      <c r="AD29" s="1"/>
      <c r="AE29" s="1"/>
    </row>
    <row r="30" spans="2:31">
      <c r="B30" s="116">
        <v>44057</v>
      </c>
      <c r="C30" s="14" t="str">
        <f t="shared" si="0"/>
        <v/>
      </c>
      <c r="D30" s="87"/>
      <c r="E30" s="87">
        <v>0</v>
      </c>
      <c r="F30" s="23">
        <v>-451720</v>
      </c>
      <c r="G30" s="26">
        <f>D30+E30+F30-E29-F29</f>
        <v>-2411</v>
      </c>
      <c r="H30" s="132">
        <v>2950</v>
      </c>
      <c r="I30" s="25">
        <v>-2400</v>
      </c>
      <c r="J30" s="25">
        <v>-300</v>
      </c>
      <c r="K30" s="170">
        <f t="shared" si="8"/>
        <v>250</v>
      </c>
      <c r="L30" s="171">
        <v>4</v>
      </c>
      <c r="M30" s="153"/>
      <c r="N30" s="149">
        <f t="shared" si="6"/>
        <v>-2157</v>
      </c>
      <c r="O30" s="67">
        <f t="shared" si="2"/>
        <v>2414340.5979166678</v>
      </c>
      <c r="P30" s="7">
        <f t="shared" si="4"/>
        <v>57944174.350000024</v>
      </c>
      <c r="Q30" s="164">
        <f>Q29+N30</f>
        <v>2583929.9500000002</v>
      </c>
      <c r="R30" s="29">
        <f t="shared" si="3"/>
        <v>1868.7054257032635</v>
      </c>
      <c r="S30" s="5">
        <f>SUM($Q$7:$Q30)/T30+6</f>
        <v>2660737.5333333346</v>
      </c>
      <c r="T30" s="18">
        <v>24</v>
      </c>
      <c r="U30" s="4"/>
      <c r="V30" s="131"/>
      <c r="W30" s="105">
        <v>-1440069</v>
      </c>
      <c r="X30" s="167"/>
      <c r="Y30" s="156">
        <f>Y29-K30-L30</f>
        <v>-1440069</v>
      </c>
      <c r="Z30" s="217"/>
      <c r="AA30" s="92"/>
      <c r="AD30" s="1"/>
      <c r="AE30" s="1"/>
    </row>
    <row r="31" spans="2:31">
      <c r="B31" s="116">
        <v>44058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2415428.8120000008</v>
      </c>
      <c r="P31" s="7">
        <f t="shared" si="4"/>
        <v>60385720.300000027</v>
      </c>
      <c r="Q31" s="164">
        <f t="shared" si="5"/>
        <v>2583929.9500000002</v>
      </c>
      <c r="R31" s="29">
        <f t="shared" si="3"/>
        <v>1866.5450261265321</v>
      </c>
      <c r="S31" s="5">
        <f>SUM($Q$7:$Q31)/T31+2</f>
        <v>2657661.4700000011</v>
      </c>
      <c r="T31" s="18">
        <v>25</v>
      </c>
      <c r="U31" s="4"/>
      <c r="V31" s="137"/>
      <c r="W31" s="105">
        <v>-1440069</v>
      </c>
      <c r="X31" s="167"/>
      <c r="Y31" s="156">
        <f t="shared" si="7"/>
        <v>-1440069</v>
      </c>
      <c r="Z31" s="217"/>
      <c r="AA31" s="92"/>
      <c r="AB31" s="92"/>
      <c r="AD31" s="1"/>
      <c r="AE31" s="1"/>
    </row>
    <row r="32" spans="2:31">
      <c r="B32" s="116">
        <v>44059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2416433.3173076934</v>
      </c>
      <c r="P32" s="7">
        <f t="shared" si="4"/>
        <v>62827266.25000003</v>
      </c>
      <c r="Q32" s="164">
        <f t="shared" si="5"/>
        <v>2583929.9500000002</v>
      </c>
      <c r="R32" s="29">
        <f t="shared" si="3"/>
        <v>1864.5477857278702</v>
      </c>
      <c r="S32" s="5">
        <f>SUM($Q$7:$Q32)/T32-6</f>
        <v>2654817.7192307706</v>
      </c>
      <c r="T32" s="18">
        <v>26</v>
      </c>
      <c r="U32" s="27"/>
      <c r="V32" s="137"/>
      <c r="W32" s="105">
        <v>-1440069</v>
      </c>
      <c r="X32" s="167"/>
      <c r="Y32" s="156">
        <f t="shared" si="7"/>
        <v>-1440069</v>
      </c>
      <c r="Z32" s="217"/>
      <c r="AD32" s="1"/>
      <c r="AE32" s="1"/>
    </row>
    <row r="33" spans="2:31">
      <c r="B33" s="116">
        <v>44060</v>
      </c>
      <c r="C33" s="14" t="str">
        <f t="shared" si="0"/>
        <v/>
      </c>
      <c r="D33" s="87"/>
      <c r="E33" s="87">
        <v>0</v>
      </c>
      <c r="F33" s="23">
        <v>-443704</v>
      </c>
      <c r="G33" s="26">
        <f>D33+E33+F33-E30-F30</f>
        <v>8016</v>
      </c>
      <c r="H33" s="132">
        <v>-6450</v>
      </c>
      <c r="I33" s="25">
        <v>-1700</v>
      </c>
      <c r="J33" s="25">
        <v>100</v>
      </c>
      <c r="K33" s="170">
        <f t="shared" si="8"/>
        <v>-8050</v>
      </c>
      <c r="L33" s="171">
        <v>45</v>
      </c>
      <c r="M33" s="153"/>
      <c r="N33" s="149">
        <f t="shared" si="6"/>
        <v>11</v>
      </c>
      <c r="O33" s="67">
        <f t="shared" si="2"/>
        <v>2417363.8222222235</v>
      </c>
      <c r="P33" s="7">
        <f t="shared" si="4"/>
        <v>65268823.200000033</v>
      </c>
      <c r="Q33" s="164">
        <f>Q32+N33</f>
        <v>2583940.9500000002</v>
      </c>
      <c r="R33" s="29">
        <f t="shared" si="3"/>
        <v>1862.7074892414055</v>
      </c>
      <c r="S33" s="5">
        <f>SUM($Q$7:$Q33)/T33-1</f>
        <v>2652197.4314814829</v>
      </c>
      <c r="T33" s="18">
        <v>27</v>
      </c>
      <c r="U33" s="138">
        <f>B33</f>
        <v>44060</v>
      </c>
      <c r="V33" s="131" t="s">
        <v>345</v>
      </c>
      <c r="W33" s="105">
        <v>-1432064</v>
      </c>
      <c r="X33" s="167">
        <f>AVERAGE(W33:W41)</f>
        <v>-1438781.2222222222</v>
      </c>
      <c r="Y33" s="156">
        <f>Y32-K33-L33</f>
        <v>-1432064</v>
      </c>
      <c r="Z33" s="217">
        <f>AVERAGE(Y33:Y41)</f>
        <v>-1438781.2222222222</v>
      </c>
      <c r="AD33" s="1"/>
      <c r="AE33" s="1"/>
    </row>
    <row r="34" spans="2:31">
      <c r="B34" s="116">
        <v>44061</v>
      </c>
      <c r="C34" s="14" t="str">
        <f t="shared" si="0"/>
        <v/>
      </c>
      <c r="D34" s="87"/>
      <c r="E34" s="87">
        <v>0</v>
      </c>
      <c r="F34" s="23">
        <v>-449948</v>
      </c>
      <c r="G34" s="26">
        <f>D34+E34+F34-E33-F33</f>
        <v>-6244</v>
      </c>
      <c r="H34" s="132">
        <v>300</v>
      </c>
      <c r="I34" s="25">
        <v>-1000</v>
      </c>
      <c r="J34" s="25">
        <v>100</v>
      </c>
      <c r="K34" s="170">
        <f t="shared" si="8"/>
        <v>-600</v>
      </c>
      <c r="L34" s="171">
        <v>7</v>
      </c>
      <c r="M34" s="153"/>
      <c r="N34" s="149">
        <f>L34+K34+G34+M34</f>
        <v>-6837</v>
      </c>
      <c r="O34" s="67">
        <f t="shared" si="2"/>
        <v>2417983.6839285726</v>
      </c>
      <c r="P34" s="7">
        <f t="shared" si="4"/>
        <v>67703543.150000036</v>
      </c>
      <c r="Q34" s="164">
        <f>Q33+N34</f>
        <v>2577103.9500000002</v>
      </c>
      <c r="R34" s="29">
        <f t="shared" si="3"/>
        <v>1860.8245910455437</v>
      </c>
      <c r="S34" s="5">
        <f>SUM($Q$7:$Q34)/T34</f>
        <v>2649516.485714287</v>
      </c>
      <c r="T34" s="18">
        <v>28</v>
      </c>
      <c r="U34" s="138">
        <f>B33+8</f>
        <v>44068</v>
      </c>
      <c r="V34" s="131">
        <v>1876.5</v>
      </c>
      <c r="W34" s="105">
        <v>-1431471</v>
      </c>
      <c r="X34" s="167"/>
      <c r="Y34" s="156">
        <f>Y33-K34-L34</f>
        <v>-1431471</v>
      </c>
      <c r="Z34" s="217"/>
      <c r="AA34" s="92"/>
      <c r="AD34" s="1"/>
      <c r="AE34" s="1"/>
    </row>
    <row r="35" spans="2:31">
      <c r="B35" s="116">
        <v>44062</v>
      </c>
      <c r="C35" s="14" t="str">
        <f t="shared" si="0"/>
        <v/>
      </c>
      <c r="D35" s="87">
        <f>-1005+1331</f>
        <v>326</v>
      </c>
      <c r="E35" s="87">
        <v>0</v>
      </c>
      <c r="F35" s="23">
        <v>-445363</v>
      </c>
      <c r="G35" s="26">
        <f>D35+E35+F35-E34-F34</f>
        <v>4911</v>
      </c>
      <c r="H35" s="132">
        <v>-2900</v>
      </c>
      <c r="I35" s="25">
        <v>6600</v>
      </c>
      <c r="J35" s="25">
        <v>100</v>
      </c>
      <c r="K35" s="170">
        <f t="shared" si="8"/>
        <v>3800</v>
      </c>
      <c r="L35" s="171">
        <v>-48</v>
      </c>
      <c r="M35" s="153"/>
      <c r="N35" s="149">
        <f t="shared" si="6"/>
        <v>8663</v>
      </c>
      <c r="O35" s="67">
        <f t="shared" si="2"/>
        <v>2418859.555172415</v>
      </c>
      <c r="P35" s="7">
        <f t="shared" si="4"/>
        <v>70146927.100000039</v>
      </c>
      <c r="Q35" s="164">
        <f>Q34+N35+1</f>
        <v>2585767.9500000002</v>
      </c>
      <c r="R35" s="29">
        <f t="shared" si="3"/>
        <v>1859.2807199859737</v>
      </c>
      <c r="S35" s="5">
        <f>SUM($Q$7:$Q35)/T35</f>
        <v>2647318.2603448289</v>
      </c>
      <c r="T35" s="18">
        <v>29</v>
      </c>
      <c r="U35" s="4"/>
      <c r="V35" s="131"/>
      <c r="W35" s="105">
        <v>-1435224</v>
      </c>
      <c r="X35" s="167"/>
      <c r="Y35" s="156">
        <f>Y34-K35-L35-1</f>
        <v>-1435224</v>
      </c>
      <c r="Z35" s="217"/>
      <c r="AA35" s="92"/>
      <c r="AD35" s="1"/>
      <c r="AE35" s="1"/>
    </row>
    <row r="36" spans="2:31">
      <c r="B36" s="116">
        <v>44063</v>
      </c>
      <c r="C36" s="14" t="str">
        <f t="shared" si="0"/>
        <v/>
      </c>
      <c r="D36" s="87"/>
      <c r="E36" s="87">
        <v>0</v>
      </c>
      <c r="F36" s="23">
        <v>-443825</v>
      </c>
      <c r="G36" s="26">
        <f>D36+E36+F36-E35-F35</f>
        <v>1538</v>
      </c>
      <c r="H36" s="132">
        <v>-6100</v>
      </c>
      <c r="I36" s="25">
        <v>10900</v>
      </c>
      <c r="J36" s="25">
        <v>100</v>
      </c>
      <c r="K36" s="170">
        <f t="shared" si="8"/>
        <v>4900</v>
      </c>
      <c r="L36" s="171">
        <v>-8</v>
      </c>
      <c r="M36" s="153"/>
      <c r="N36" s="149">
        <f t="shared" si="6"/>
        <v>6430</v>
      </c>
      <c r="O36" s="67">
        <f t="shared" si="2"/>
        <v>2419891.2683333349</v>
      </c>
      <c r="P36" s="7">
        <f t="shared" si="4"/>
        <v>72596738.050000042</v>
      </c>
      <c r="Q36" s="164">
        <f>Q35+N36-3</f>
        <v>2592194.9500000002</v>
      </c>
      <c r="R36" s="29">
        <f t="shared" si="3"/>
        <v>1857.9902353260677</v>
      </c>
      <c r="S36" s="5">
        <f>SUM($Q$7:$Q36)/T36</f>
        <v>2645480.8166666683</v>
      </c>
      <c r="T36" s="18">
        <v>30</v>
      </c>
      <c r="U36" s="4"/>
      <c r="V36" s="136"/>
      <c r="W36" s="105">
        <v>-1440113</v>
      </c>
      <c r="X36" s="167"/>
      <c r="Y36" s="156">
        <f>Y35-K36-L36+3</f>
        <v>-1440113</v>
      </c>
      <c r="Z36" s="217"/>
      <c r="AD36" s="1"/>
      <c r="AE36" s="1"/>
    </row>
    <row r="37" spans="2:31">
      <c r="B37" s="116">
        <v>44064</v>
      </c>
      <c r="C37" s="14" t="str">
        <f t="shared" si="0"/>
        <v/>
      </c>
      <c r="D37" s="87"/>
      <c r="E37" s="87">
        <v>0</v>
      </c>
      <c r="F37" s="23">
        <v>-445436</v>
      </c>
      <c r="G37" s="26">
        <f>D37+E37+F37-E36-F36</f>
        <v>-1611</v>
      </c>
      <c r="H37" s="132">
        <v>-12800</v>
      </c>
      <c r="I37" s="25">
        <v>22600</v>
      </c>
      <c r="J37" s="25">
        <v>100</v>
      </c>
      <c r="K37" s="170">
        <f t="shared" si="8"/>
        <v>9900</v>
      </c>
      <c r="L37" s="171">
        <v>-36</v>
      </c>
      <c r="M37" s="153"/>
      <c r="N37" s="149">
        <f t="shared" si="6"/>
        <v>8253</v>
      </c>
      <c r="O37" s="67">
        <f t="shared" si="2"/>
        <v>2421122.5483870981</v>
      </c>
      <c r="P37" s="7">
        <f t="shared" si="4"/>
        <v>75054799.000000045</v>
      </c>
      <c r="Q37" s="164">
        <f>Q36+N37-3</f>
        <v>2600444.9500000002</v>
      </c>
      <c r="R37" s="29">
        <f t="shared" si="3"/>
        <v>1856.9706194335001</v>
      </c>
      <c r="S37" s="5">
        <f>SUM($Q$7:$Q37)/T37+1</f>
        <v>2644029.046774195</v>
      </c>
      <c r="T37" s="18">
        <v>31</v>
      </c>
      <c r="U37" s="27"/>
      <c r="V37" s="137"/>
      <c r="W37" s="105">
        <v>-1449974</v>
      </c>
      <c r="X37" s="167"/>
      <c r="Y37" s="156">
        <f>Y36-K37-L37+3</f>
        <v>-1449974</v>
      </c>
      <c r="Z37" s="217"/>
      <c r="AA37" s="92"/>
      <c r="AD37" s="1"/>
      <c r="AE37" s="1"/>
    </row>
    <row r="38" spans="2:31">
      <c r="B38" s="116">
        <v>44065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2422276.8734375015</v>
      </c>
      <c r="P38" s="7">
        <f t="shared" si="4"/>
        <v>77512859.950000048</v>
      </c>
      <c r="Q38" s="164">
        <f>Q37+N38</f>
        <v>2600444.9500000002</v>
      </c>
      <c r="R38" s="29">
        <f t="shared" si="3"/>
        <v>1856.0133687773921</v>
      </c>
      <c r="S38" s="5">
        <f>SUM($Q$7:$Q38)/T38</f>
        <v>2642666.0750000016</v>
      </c>
      <c r="T38" s="18">
        <v>32</v>
      </c>
      <c r="U38" s="27"/>
      <c r="V38" s="137"/>
      <c r="W38" s="105">
        <v>-1449974</v>
      </c>
      <c r="X38" s="167"/>
      <c r="Y38" s="156">
        <f t="shared" si="7"/>
        <v>-1449974</v>
      </c>
      <c r="Z38" s="217"/>
      <c r="AD38" s="1"/>
      <c r="AE38" s="1"/>
    </row>
    <row r="39" spans="2:31">
      <c r="B39" s="116">
        <v>44066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2423361.2393939411</v>
      </c>
      <c r="P39" s="7">
        <f t="shared" si="4"/>
        <v>79970920.900000051</v>
      </c>
      <c r="Q39" s="164">
        <f>Q38+N39</f>
        <v>2600444.9500000002</v>
      </c>
      <c r="R39" s="29">
        <f t="shared" si="3"/>
        <v>1855.1140907473443</v>
      </c>
      <c r="S39" s="5">
        <f>SUM($Q$7:$Q39)/T39-1</f>
        <v>2641385.6469696984</v>
      </c>
      <c r="T39" s="18">
        <v>33</v>
      </c>
      <c r="U39" s="27"/>
      <c r="V39" s="137"/>
      <c r="W39" s="105">
        <v>-1449974</v>
      </c>
      <c r="X39" s="167"/>
      <c r="Y39" s="156">
        <f t="shared" si="7"/>
        <v>-1449974</v>
      </c>
      <c r="Z39" s="217"/>
      <c r="AD39" s="1"/>
      <c r="AE39" s="1"/>
    </row>
    <row r="40" spans="2:31">
      <c r="B40" s="116">
        <v>44067</v>
      </c>
      <c r="C40" s="14" t="str">
        <f t="shared" si="0"/>
        <v/>
      </c>
      <c r="D40" s="87"/>
      <c r="E40" s="87">
        <v>0</v>
      </c>
      <c r="F40" s="23">
        <v>-452491</v>
      </c>
      <c r="G40" s="26">
        <f>D40+E40+F40-E37-F37</f>
        <v>-7055</v>
      </c>
      <c r="H40" s="132">
        <v>-200</v>
      </c>
      <c r="I40" s="25">
        <v>-17400</v>
      </c>
      <c r="J40" s="25">
        <v>-100</v>
      </c>
      <c r="K40" s="170">
        <f t="shared" si="8"/>
        <v>-17700</v>
      </c>
      <c r="L40" s="171">
        <v>19</v>
      </c>
      <c r="M40" s="153"/>
      <c r="N40" s="149">
        <f t="shared" si="6"/>
        <v>-24736</v>
      </c>
      <c r="O40" s="67">
        <f t="shared" si="2"/>
        <v>2423654.2602941194</v>
      </c>
      <c r="P40" s="7">
        <f t="shared" si="4"/>
        <v>82404244.850000054</v>
      </c>
      <c r="Q40" s="164">
        <f>Q39+N40-1</f>
        <v>2575707.9500000002</v>
      </c>
      <c r="R40" s="29">
        <f t="shared" si="3"/>
        <v>1853.7580912098526</v>
      </c>
      <c r="S40" s="5">
        <f>SUM($Q$7:$Q40)/T40</f>
        <v>2639454.9205882368</v>
      </c>
      <c r="T40" s="18">
        <v>34</v>
      </c>
      <c r="U40" s="138">
        <f>B40</f>
        <v>44067</v>
      </c>
      <c r="V40" s="131" t="s">
        <v>346</v>
      </c>
      <c r="W40" s="105">
        <v>-1432292</v>
      </c>
      <c r="X40" s="167">
        <f>AVERAGE(W40:W48)</f>
        <v>-1437684.5555555555</v>
      </c>
      <c r="Y40" s="156">
        <f>Y39-K40-L40+1</f>
        <v>-1432292</v>
      </c>
      <c r="Z40" s="217">
        <f>AVERAGE(Y40:Y48)</f>
        <v>-1437684.5555555555</v>
      </c>
      <c r="AD40" s="1"/>
      <c r="AE40" s="1"/>
    </row>
    <row r="41" spans="2:31">
      <c r="B41" s="116">
        <v>44068</v>
      </c>
      <c r="C41" s="14" t="str">
        <f t="shared" si="0"/>
        <v/>
      </c>
      <c r="D41" s="87"/>
      <c r="E41" s="87">
        <v>0</v>
      </c>
      <c r="F41" s="23">
        <v>-450809</v>
      </c>
      <c r="G41" s="26">
        <f>D41+E41+F41-E40-F40</f>
        <v>1682</v>
      </c>
      <c r="H41" s="132">
        <v>-3300</v>
      </c>
      <c r="I41" s="25">
        <v>-900</v>
      </c>
      <c r="J41" s="25">
        <v>-100</v>
      </c>
      <c r="K41" s="170">
        <f t="shared" si="8"/>
        <v>-4300</v>
      </c>
      <c r="L41" s="171">
        <v>-46</v>
      </c>
      <c r="M41" s="153"/>
      <c r="N41" s="149">
        <f t="shared" si="6"/>
        <v>-2664</v>
      </c>
      <c r="O41" s="67">
        <f t="shared" si="2"/>
        <v>2423854.3942857161</v>
      </c>
      <c r="P41" s="7">
        <f t="shared" si="4"/>
        <v>84834903.800000057</v>
      </c>
      <c r="Q41" s="164">
        <f>Q40+N41-1</f>
        <v>2573042.9500000002</v>
      </c>
      <c r="R41" s="29">
        <f t="shared" si="3"/>
        <v>1852.4282473552414</v>
      </c>
      <c r="S41" s="5">
        <f>SUM($Q$7:$Q41)/T41+4</f>
        <v>2637561.4357142872</v>
      </c>
      <c r="T41" s="18">
        <v>35</v>
      </c>
      <c r="U41" s="138">
        <f>B40+8</f>
        <v>44075</v>
      </c>
      <c r="V41" s="137">
        <v>1878.1</v>
      </c>
      <c r="W41" s="105">
        <v>-1427945</v>
      </c>
      <c r="X41" s="167"/>
      <c r="Y41" s="156">
        <f t="shared" ref="Y41:Y47" si="10">Y40-K41-L41+1</f>
        <v>-1427945</v>
      </c>
      <c r="Z41" s="217"/>
      <c r="AD41" s="1"/>
      <c r="AE41" s="1"/>
    </row>
    <row r="42" spans="2:31">
      <c r="B42" s="116">
        <v>44069</v>
      </c>
      <c r="C42" s="14" t="str">
        <f t="shared" si="0"/>
        <v/>
      </c>
      <c r="D42" s="87">
        <f>-1331+1633</f>
        <v>302</v>
      </c>
      <c r="E42" s="87">
        <v>0</v>
      </c>
      <c r="F42" s="23">
        <v>-446235</v>
      </c>
      <c r="G42" s="26">
        <f t="shared" ref="G42:G48" si="11">D42+E42+F42-E41-F41</f>
        <v>4876</v>
      </c>
      <c r="H42" s="132">
        <v>300</v>
      </c>
      <c r="I42" s="25">
        <v>-4500</v>
      </c>
      <c r="J42" s="25">
        <v>-100</v>
      </c>
      <c r="K42" s="170">
        <f t="shared" si="8"/>
        <v>-4300</v>
      </c>
      <c r="L42" s="171">
        <v>39</v>
      </c>
      <c r="M42" s="153"/>
      <c r="N42" s="149">
        <f t="shared" si="6"/>
        <v>615</v>
      </c>
      <c r="O42" s="67">
        <f t="shared" si="2"/>
        <v>2424060.5208333349</v>
      </c>
      <c r="P42" s="7">
        <f t="shared" si="4"/>
        <v>87266178.75000006</v>
      </c>
      <c r="Q42" s="164">
        <f>Q41+N42+1</f>
        <v>2573658.9500000002</v>
      </c>
      <c r="R42" s="29">
        <f t="shared" si="3"/>
        <v>1851.1816480628297</v>
      </c>
      <c r="S42" s="5">
        <f>SUM($Q$7:$Q42)/T42+4</f>
        <v>2635786.4777777796</v>
      </c>
      <c r="T42" s="18">
        <v>36</v>
      </c>
      <c r="U42" s="27"/>
      <c r="V42" s="137"/>
      <c r="W42" s="105">
        <v>-1423683</v>
      </c>
      <c r="X42" s="167"/>
      <c r="Y42" s="156">
        <f t="shared" si="10"/>
        <v>-1423683</v>
      </c>
      <c r="Z42" s="217"/>
      <c r="AD42" s="1"/>
      <c r="AE42" s="1"/>
    </row>
    <row r="43" spans="2:31">
      <c r="B43" s="116">
        <v>44070</v>
      </c>
      <c r="C43" s="14" t="str">
        <f t="shared" si="0"/>
        <v/>
      </c>
      <c r="D43" s="87">
        <f>-568+243</f>
        <v>-325</v>
      </c>
      <c r="E43" s="87">
        <v>4</v>
      </c>
      <c r="F43" s="23">
        <v>-443155</v>
      </c>
      <c r="G43" s="26">
        <f t="shared" si="11"/>
        <v>2759</v>
      </c>
      <c r="H43" s="132">
        <v>300</v>
      </c>
      <c r="I43" s="25">
        <v>1600</v>
      </c>
      <c r="J43" s="25">
        <v>-200</v>
      </c>
      <c r="K43" s="170">
        <f t="shared" si="8"/>
        <v>1700</v>
      </c>
      <c r="L43" s="171">
        <v>-6</v>
      </c>
      <c r="M43" s="153"/>
      <c r="N43" s="149">
        <f t="shared" si="6"/>
        <v>4453</v>
      </c>
      <c r="O43" s="67">
        <f t="shared" si="2"/>
        <v>2424375.7756756772</v>
      </c>
      <c r="P43" s="7">
        <f t="shared" si="4"/>
        <v>89701903.700000063</v>
      </c>
      <c r="Q43" s="164">
        <f>Q42+N43-3</f>
        <v>2578108.9500000002</v>
      </c>
      <c r="R43" s="29">
        <f t="shared" si="3"/>
        <v>1850.0869014663062</v>
      </c>
      <c r="S43" s="5">
        <f>SUM($Q$7:$Q43)/T43+4</f>
        <v>2634227.7337837857</v>
      </c>
      <c r="T43" s="18">
        <v>37</v>
      </c>
      <c r="U43" s="27"/>
      <c r="V43" s="137"/>
      <c r="W43" s="105">
        <v>-1425376</v>
      </c>
      <c r="X43" s="167"/>
      <c r="Y43" s="156">
        <f t="shared" si="10"/>
        <v>-1425376</v>
      </c>
      <c r="Z43" s="217"/>
      <c r="AD43" s="1"/>
      <c r="AE43" s="1"/>
    </row>
    <row r="44" spans="2:31">
      <c r="B44" s="116">
        <v>44071</v>
      </c>
      <c r="C44" s="14" t="str">
        <f t="shared" si="0"/>
        <v/>
      </c>
      <c r="D44" s="87"/>
      <c r="E44" s="87">
        <v>6</v>
      </c>
      <c r="F44" s="23">
        <v>-476236</v>
      </c>
      <c r="G44" s="26">
        <f t="shared" si="11"/>
        <v>-33079</v>
      </c>
      <c r="H44" s="132">
        <v>300</v>
      </c>
      <c r="I44" s="25">
        <v>4200</v>
      </c>
      <c r="J44" s="25">
        <v>-200</v>
      </c>
      <c r="K44" s="170">
        <f t="shared" si="8"/>
        <v>4300</v>
      </c>
      <c r="L44" s="171">
        <v>27</v>
      </c>
      <c r="M44" s="153"/>
      <c r="N44" s="149">
        <f t="shared" si="6"/>
        <v>-28752</v>
      </c>
      <c r="O44" s="67">
        <f t="shared" si="2"/>
        <v>2423917.7539473702</v>
      </c>
      <c r="P44" s="7">
        <f t="shared" si="4"/>
        <v>92108874.650000066</v>
      </c>
      <c r="Q44" s="164">
        <f>Q43+N44-2</f>
        <v>2549354.9500000002</v>
      </c>
      <c r="R44" s="29">
        <f t="shared" si="3"/>
        <v>1848.5183340381247</v>
      </c>
      <c r="S44" s="5">
        <f>SUM($Q$7:$Q44)/T44+4</f>
        <v>2631994.3447368438</v>
      </c>
      <c r="T44" s="18">
        <v>38</v>
      </c>
      <c r="U44" s="27"/>
      <c r="V44" s="137"/>
      <c r="W44" s="105">
        <v>-1429701</v>
      </c>
      <c r="X44" s="167"/>
      <c r="Y44" s="156">
        <f>Y43-K44-L44+2</f>
        <v>-1429701</v>
      </c>
      <c r="Z44" s="217"/>
      <c r="AD44" s="1"/>
      <c r="AE44" s="1"/>
    </row>
    <row r="45" spans="2:31">
      <c r="B45" s="116">
        <v>44072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>
        <f t="shared" si="6"/>
        <v>0</v>
      </c>
      <c r="O45" s="67">
        <f t="shared" si="2"/>
        <v>2423483.2205128223</v>
      </c>
      <c r="P45" s="7">
        <f t="shared" si="4"/>
        <v>94515845.600000069</v>
      </c>
      <c r="Q45" s="164">
        <f>Q44+N45</f>
        <v>2549354.9500000002</v>
      </c>
      <c r="R45" s="29">
        <f t="shared" si="3"/>
        <v>1847.0302059652352</v>
      </c>
      <c r="S45" s="5">
        <f>SUM($Q$7:$Q45)/T45+4</f>
        <v>2629875.4884615401</v>
      </c>
      <c r="T45" s="18">
        <v>39</v>
      </c>
      <c r="U45" s="27"/>
      <c r="V45" s="137"/>
      <c r="W45" s="105">
        <v>-1429701</v>
      </c>
      <c r="X45" s="167"/>
      <c r="Y45" s="156">
        <f>Y44-K45-L45</f>
        <v>-1429701</v>
      </c>
      <c r="Z45" s="217"/>
      <c r="AD45" s="1"/>
      <c r="AE45" s="1"/>
    </row>
    <row r="46" spans="2:31">
      <c r="B46" s="116">
        <v>44073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>
        <f t="shared" si="6"/>
        <v>0</v>
      </c>
      <c r="O46" s="67">
        <f t="shared" si="2"/>
        <v>2423070.4137500017</v>
      </c>
      <c r="P46" s="7">
        <f t="shared" si="4"/>
        <v>96922816.550000072</v>
      </c>
      <c r="Q46" s="164">
        <f>Q45+N46</f>
        <v>2549354.9500000002</v>
      </c>
      <c r="R46" s="29">
        <f t="shared" si="3"/>
        <v>1845.6136749915736</v>
      </c>
      <c r="S46" s="5">
        <f>SUM($Q$7:$Q46)/T46</f>
        <v>2627858.575000002</v>
      </c>
      <c r="T46" s="18">
        <v>40</v>
      </c>
      <c r="U46" s="27"/>
      <c r="V46" s="137"/>
      <c r="W46" s="105">
        <v>-1429701</v>
      </c>
      <c r="X46" s="167"/>
      <c r="Y46" s="156">
        <f>Y45-K46-L46</f>
        <v>-1429701</v>
      </c>
      <c r="Z46" s="217"/>
      <c r="AD46" s="1"/>
      <c r="AE46" s="1"/>
    </row>
    <row r="47" spans="2:31">
      <c r="B47" s="116">
        <v>44074</v>
      </c>
      <c r="C47" s="14" t="str">
        <f t="shared" si="0"/>
        <v/>
      </c>
      <c r="D47" s="87"/>
      <c r="E47" s="87">
        <v>0</v>
      </c>
      <c r="F47" s="23">
        <v>-483021</v>
      </c>
      <c r="G47" s="26">
        <f>D47+E47+F47-E44-F44</f>
        <v>-6791</v>
      </c>
      <c r="H47" s="132">
        <v>300</v>
      </c>
      <c r="I47" s="25">
        <v>15100</v>
      </c>
      <c r="J47" s="25">
        <v>-200</v>
      </c>
      <c r="K47" s="170">
        <f t="shared" si="8"/>
        <v>15200</v>
      </c>
      <c r="L47" s="171">
        <v>18</v>
      </c>
      <c r="M47" s="153"/>
      <c r="N47" s="149">
        <f t="shared" si="6"/>
        <v>8427</v>
      </c>
      <c r="O47" s="67">
        <f t="shared" si="2"/>
        <v>2422883.2804878065</v>
      </c>
      <c r="P47" s="7">
        <f t="shared" si="4"/>
        <v>99338214.500000075</v>
      </c>
      <c r="Q47" s="164">
        <f>Q46+N47</f>
        <v>2557781.9500000002</v>
      </c>
      <c r="R47" s="29">
        <f t="shared" si="3"/>
        <v>1844.4132690642152</v>
      </c>
      <c r="S47" s="5">
        <f>SUM($Q$7:$Q47)/T47</f>
        <v>2626149.3890243922</v>
      </c>
      <c r="T47" s="18">
        <v>41</v>
      </c>
      <c r="U47" s="138">
        <f>+B47</f>
        <v>44074</v>
      </c>
      <c r="V47" s="137" t="s">
        <v>347</v>
      </c>
      <c r="W47" s="105">
        <v>-1444918</v>
      </c>
      <c r="X47" s="167"/>
      <c r="Y47" s="156">
        <f t="shared" si="10"/>
        <v>-1444918</v>
      </c>
      <c r="Z47" s="217"/>
      <c r="AD47" s="1"/>
      <c r="AE47" s="1"/>
    </row>
    <row r="48" spans="2:31">
      <c r="B48" s="116">
        <v>44075</v>
      </c>
      <c r="C48" s="14" t="str">
        <f t="shared" si="0"/>
        <v/>
      </c>
      <c r="D48" s="87"/>
      <c r="E48" s="87">
        <v>4</v>
      </c>
      <c r="F48" s="23">
        <v>-500980</v>
      </c>
      <c r="G48" s="26">
        <f t="shared" si="11"/>
        <v>-17955</v>
      </c>
      <c r="H48" s="132">
        <v>8300</v>
      </c>
      <c r="I48" s="25">
        <v>42900</v>
      </c>
      <c r="J48" s="25">
        <v>-300</v>
      </c>
      <c r="K48" s="170">
        <f t="shared" si="8"/>
        <v>50900</v>
      </c>
      <c r="L48" s="171">
        <v>25</v>
      </c>
      <c r="M48" s="153"/>
      <c r="N48" s="149">
        <f t="shared" si="6"/>
        <v>32970</v>
      </c>
      <c r="O48" s="67">
        <f t="shared" si="2"/>
        <v>2423490.058333335</v>
      </c>
      <c r="P48" s="7">
        <f t="shared" si="4"/>
        <v>101786582.45000008</v>
      </c>
      <c r="Q48" s="164">
        <f>Q47+N48</f>
        <v>2590751.9500000002</v>
      </c>
      <c r="R48" s="29">
        <f t="shared" si="3"/>
        <v>1843.8213513155586</v>
      </c>
      <c r="S48" s="5">
        <f>SUM($Q$7:$Q48)/T48</f>
        <v>2625306.5928571448</v>
      </c>
      <c r="T48" s="18">
        <v>42</v>
      </c>
      <c r="U48" s="138">
        <f>+U47+8</f>
        <v>44082</v>
      </c>
      <c r="V48" s="137">
        <v>1827.1</v>
      </c>
      <c r="W48" s="105">
        <v>-1495844</v>
      </c>
      <c r="X48" s="167"/>
      <c r="Y48" s="156">
        <f>Y47-K48-L48-1</f>
        <v>-1495844</v>
      </c>
      <c r="Z48" s="217"/>
      <c r="AD48" s="1"/>
      <c r="AE48" s="1"/>
    </row>
    <row r="49" spans="2:31">
      <c r="B49" s="116">
        <v>44076</v>
      </c>
      <c r="C49" s="14" t="str">
        <f t="shared" ref="C49:C59" si="12">IF(OR(WEEKDAY(B49)=1,WEEKDAY(B49)=7),"F","")</f>
        <v/>
      </c>
      <c r="D49" s="87">
        <f>-1633+1568</f>
        <v>-65</v>
      </c>
      <c r="E49" s="87">
        <v>0</v>
      </c>
      <c r="F49" s="23">
        <v>-488881</v>
      </c>
      <c r="G49" s="26">
        <f t="shared" ref="G49:G58" si="13">D49+E49+F49-E48-F48</f>
        <v>12030</v>
      </c>
      <c r="H49" s="132">
        <v>300</v>
      </c>
      <c r="I49" s="25">
        <v>7500</v>
      </c>
      <c r="J49" s="25">
        <v>-300</v>
      </c>
      <c r="K49" s="170">
        <f t="shared" ref="K49:K58" si="14">+H49+I49+J49</f>
        <v>7500</v>
      </c>
      <c r="L49" s="171">
        <v>18</v>
      </c>
      <c r="M49" s="153"/>
      <c r="N49" s="149">
        <f t="shared" ref="N49:N59" si="15">L49+K49+G49+M49</f>
        <v>19548</v>
      </c>
      <c r="O49" s="67">
        <f t="shared" ref="O49:O59" si="16">P49/T49</f>
        <v>2424523.2186046531</v>
      </c>
      <c r="P49" s="7">
        <f t="shared" si="4"/>
        <v>104254498.40000008</v>
      </c>
      <c r="Q49" s="164">
        <f>Q48+N49</f>
        <v>2610299.9500000002</v>
      </c>
      <c r="R49" s="29">
        <f t="shared" si="3"/>
        <v>1843.5762453385159</v>
      </c>
      <c r="S49" s="5">
        <f>SUM($Q$7:$Q49)/T49</f>
        <v>2624957.6011627926</v>
      </c>
      <c r="T49" s="18">
        <v>43</v>
      </c>
      <c r="U49" s="27"/>
      <c r="V49" s="137"/>
      <c r="W49" s="105">
        <v>-1503361</v>
      </c>
      <c r="X49" s="167"/>
      <c r="Y49" s="156">
        <f>Y48-K49-L49+1</f>
        <v>-1503361</v>
      </c>
      <c r="Z49" s="217"/>
      <c r="AD49" s="1"/>
      <c r="AE49" s="1"/>
    </row>
    <row r="50" spans="2:31">
      <c r="B50" s="116">
        <v>44077</v>
      </c>
      <c r="C50" s="14" t="str">
        <f t="shared" si="12"/>
        <v/>
      </c>
      <c r="D50" s="87">
        <v>793.5</v>
      </c>
      <c r="E50" s="87">
        <v>0</v>
      </c>
      <c r="F50" s="23">
        <v>-478705</v>
      </c>
      <c r="G50" s="26">
        <f t="shared" si="13"/>
        <v>10969.5</v>
      </c>
      <c r="H50" s="132">
        <v>300</v>
      </c>
      <c r="I50" s="25">
        <v>-500</v>
      </c>
      <c r="J50" s="25">
        <v>-300</v>
      </c>
      <c r="K50" s="170">
        <f t="shared" si="14"/>
        <v>-500</v>
      </c>
      <c r="L50" s="171">
        <v>-7</v>
      </c>
      <c r="M50" s="153"/>
      <c r="N50" s="149">
        <f t="shared" si="15"/>
        <v>10462.5</v>
      </c>
      <c r="O50" s="67">
        <f t="shared" si="16"/>
        <v>2425747.2238636385</v>
      </c>
      <c r="P50" s="7">
        <f t="shared" si="4"/>
        <v>106732877.85000008</v>
      </c>
      <c r="Q50" s="164">
        <f>Q49+N50+1</f>
        <v>2620763.4500000002</v>
      </c>
      <c r="R50" s="29">
        <f t="shared" si="3"/>
        <v>1843.5092984783801</v>
      </c>
      <c r="S50" s="5">
        <f>SUM($Q$7:$Q50)/T50</f>
        <v>2624862.2795454566</v>
      </c>
      <c r="T50" s="18">
        <v>44</v>
      </c>
      <c r="U50" s="27"/>
      <c r="V50" s="137"/>
      <c r="W50" s="105">
        <v>-1502855</v>
      </c>
      <c r="X50" s="167"/>
      <c r="Y50" s="156">
        <f>Y49-K50-L50-1</f>
        <v>-1502855</v>
      </c>
      <c r="Z50" s="217"/>
      <c r="AD50" s="1"/>
      <c r="AE50" s="1"/>
    </row>
    <row r="51" spans="2:31">
      <c r="B51" s="116">
        <v>44078</v>
      </c>
      <c r="C51" s="14" t="str">
        <f t="shared" si="12"/>
        <v/>
      </c>
      <c r="D51" s="87"/>
      <c r="E51" s="87">
        <v>0</v>
      </c>
      <c r="F51" s="23">
        <v>-493170</v>
      </c>
      <c r="G51" s="26">
        <f t="shared" si="13"/>
        <v>-14465</v>
      </c>
      <c r="H51" s="132">
        <v>300</v>
      </c>
      <c r="I51" s="25">
        <v>15600</v>
      </c>
      <c r="J51" s="25">
        <v>-300</v>
      </c>
      <c r="K51" s="170">
        <f t="shared" si="14"/>
        <v>15600</v>
      </c>
      <c r="L51" s="171">
        <v>18</v>
      </c>
      <c r="M51" s="153"/>
      <c r="N51" s="149">
        <f t="shared" si="15"/>
        <v>1153</v>
      </c>
      <c r="O51" s="67">
        <f t="shared" si="16"/>
        <v>2426942.4288888909</v>
      </c>
      <c r="P51" s="7">
        <f t="shared" si="4"/>
        <v>109212409.30000009</v>
      </c>
      <c r="Q51" s="164">
        <f t="shared" ref="Q51" si="17">Q50+N51-1</f>
        <v>2621915.4500000002</v>
      </c>
      <c r="R51" s="29">
        <f t="shared" si="3"/>
        <v>1843.4661158869301</v>
      </c>
      <c r="S51" s="5">
        <f>SUM($Q$7:$Q51)/T51+4</f>
        <v>2624800.7944444465</v>
      </c>
      <c r="T51" s="18">
        <v>45</v>
      </c>
      <c r="U51" s="27"/>
      <c r="V51" s="137"/>
      <c r="W51" s="105">
        <v>-1518472</v>
      </c>
      <c r="X51" s="167"/>
      <c r="Y51" s="156">
        <f t="shared" ref="Y51:Y58" si="18">Y50-K51-L51+1</f>
        <v>-1518472</v>
      </c>
      <c r="Z51" s="217"/>
    </row>
    <row r="52" spans="2:31">
      <c r="B52" s="116">
        <v>44079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15"/>
        <v>0</v>
      </c>
      <c r="O52" s="67">
        <f t="shared" si="16"/>
        <v>2428085.6684782626</v>
      </c>
      <c r="P52" s="7">
        <f t="shared" si="4"/>
        <v>111691940.75000009</v>
      </c>
      <c r="Q52" s="164">
        <f>Q51+N52</f>
        <v>2621915.4500000002</v>
      </c>
      <c r="R52" s="29">
        <f t="shared" si="3"/>
        <v>1843.4221236387102</v>
      </c>
      <c r="S52" s="5">
        <f>SUM($Q$7:$Q52)/T52+4</f>
        <v>2624738.1565217413</v>
      </c>
      <c r="T52" s="18">
        <v>46</v>
      </c>
      <c r="U52" s="27"/>
      <c r="V52" s="137"/>
      <c r="W52" s="105">
        <v>-1518472</v>
      </c>
      <c r="X52" s="167"/>
      <c r="Y52" s="156">
        <f t="shared" si="18"/>
        <v>-1518471</v>
      </c>
      <c r="Z52" s="217"/>
    </row>
    <row r="53" spans="2:31">
      <c r="B53" s="116">
        <v>44080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15"/>
        <v>0</v>
      </c>
      <c r="O53" s="67">
        <f t="shared" si="16"/>
        <v>2429180.2595744701</v>
      </c>
      <c r="P53" s="7">
        <f t="shared" si="4"/>
        <v>114171472.20000009</v>
      </c>
      <c r="Q53" s="164">
        <f>Q52+N53</f>
        <v>2621915.4500000002</v>
      </c>
      <c r="R53" s="29">
        <f t="shared" si="3"/>
        <v>1843.380003401053</v>
      </c>
      <c r="S53" s="5">
        <f>SUM($Q$7:$Q53)/T53+4</f>
        <v>2624678.1840425553</v>
      </c>
      <c r="T53" s="18">
        <v>47</v>
      </c>
      <c r="U53" s="27"/>
      <c r="V53" s="137"/>
      <c r="W53" s="105">
        <v>-1518472</v>
      </c>
      <c r="X53" s="167"/>
      <c r="Y53" s="156">
        <f t="shared" si="18"/>
        <v>-1518470</v>
      </c>
      <c r="Z53" s="217"/>
    </row>
    <row r="54" spans="2:31">
      <c r="B54" s="116">
        <v>44081</v>
      </c>
      <c r="C54" s="14" t="str">
        <f t="shared" si="12"/>
        <v/>
      </c>
      <c r="D54" s="87"/>
      <c r="E54" s="87">
        <v>0</v>
      </c>
      <c r="F54" s="23">
        <v>-477675</v>
      </c>
      <c r="G54" s="26">
        <f>D54+E54+F54-E51-F51</f>
        <v>15495</v>
      </c>
      <c r="H54" s="132">
        <v>300</v>
      </c>
      <c r="I54" s="25">
        <v>-3400</v>
      </c>
      <c r="J54" s="25">
        <v>-200</v>
      </c>
      <c r="K54" s="170">
        <f t="shared" si="14"/>
        <v>-3300</v>
      </c>
      <c r="L54" s="171">
        <v>-49</v>
      </c>
      <c r="M54" s="153"/>
      <c r="N54" s="149">
        <f t="shared" si="15"/>
        <v>12146</v>
      </c>
      <c r="O54" s="67">
        <f t="shared" si="16"/>
        <v>2430482.2218750021</v>
      </c>
      <c r="P54" s="7">
        <f t="shared" si="4"/>
        <v>116663146.6500001</v>
      </c>
      <c r="Q54" s="164">
        <f>Q53+N54-1-2</f>
        <v>2634058.4500000002</v>
      </c>
      <c r="R54" s="29">
        <f t="shared" si="3"/>
        <v>1843.5173120458305</v>
      </c>
      <c r="S54" s="5">
        <f>SUM($Q$7:$Q54)/T54+4</f>
        <v>2624873.6895833355</v>
      </c>
      <c r="T54" s="18">
        <v>48</v>
      </c>
      <c r="U54" s="138">
        <f>B54</f>
        <v>44081</v>
      </c>
      <c r="V54" s="137" t="s">
        <v>348</v>
      </c>
      <c r="W54" s="105">
        <v>-1515120</v>
      </c>
      <c r="X54" s="167"/>
      <c r="Y54" s="156">
        <f t="shared" si="18"/>
        <v>-1515120</v>
      </c>
      <c r="Z54" s="217"/>
    </row>
    <row r="55" spans="2:31">
      <c r="B55" s="116">
        <v>44082</v>
      </c>
      <c r="C55" s="14" t="str">
        <f t="shared" si="12"/>
        <v/>
      </c>
      <c r="D55" s="87"/>
      <c r="E55" s="87">
        <v>0</v>
      </c>
      <c r="F55" s="23">
        <v>-479245</v>
      </c>
      <c r="G55" s="26">
        <f t="shared" si="13"/>
        <v>-1570</v>
      </c>
      <c r="H55" s="132">
        <v>300</v>
      </c>
      <c r="I55" s="25">
        <v>8400</v>
      </c>
      <c r="J55" s="25">
        <v>-200</v>
      </c>
      <c r="K55" s="170">
        <f t="shared" si="14"/>
        <v>8500</v>
      </c>
      <c r="L55" s="171">
        <v>-24</v>
      </c>
      <c r="M55" s="153"/>
      <c r="N55" s="149">
        <f t="shared" si="15"/>
        <v>6906</v>
      </c>
      <c r="O55" s="67">
        <f t="shared" si="16"/>
        <v>2431871.981632655</v>
      </c>
      <c r="P55" s="7">
        <f t="shared" si="4"/>
        <v>119161727.1000001</v>
      </c>
      <c r="Q55" s="164">
        <f t="shared" ref="Q55:Q60" si="19">Q54+N55</f>
        <v>2640964.4500000002</v>
      </c>
      <c r="R55" s="29">
        <f t="shared" si="3"/>
        <v>1843.7480012372423</v>
      </c>
      <c r="S55" s="5">
        <f>SUM($Q$7:$Q55)/T55+4</f>
        <v>2625202.1540816347</v>
      </c>
      <c r="T55" s="18">
        <v>49</v>
      </c>
      <c r="U55" s="138">
        <f>B54+8</f>
        <v>44089</v>
      </c>
      <c r="V55" s="137">
        <v>1830.5</v>
      </c>
      <c r="W55" s="105">
        <v>-1523595</v>
      </c>
      <c r="X55" s="167"/>
      <c r="Y55" s="156">
        <f t="shared" si="18"/>
        <v>-1523595</v>
      </c>
      <c r="Z55" s="217"/>
    </row>
    <row r="56" spans="2:31">
      <c r="B56" s="116">
        <v>44083</v>
      </c>
      <c r="C56" s="14" t="str">
        <f t="shared" si="12"/>
        <v/>
      </c>
      <c r="D56" s="87">
        <f>-1568+1666</f>
        <v>98</v>
      </c>
      <c r="E56" s="87">
        <v>0</v>
      </c>
      <c r="F56" s="23">
        <v>-477748</v>
      </c>
      <c r="G56" s="26">
        <f t="shared" si="13"/>
        <v>1595</v>
      </c>
      <c r="H56" s="132">
        <v>300</v>
      </c>
      <c r="I56" s="25">
        <v>2400</v>
      </c>
      <c r="J56" s="25">
        <v>-200</v>
      </c>
      <c r="K56" s="170">
        <f t="shared" si="14"/>
        <v>2500</v>
      </c>
      <c r="L56" s="171">
        <v>-18</v>
      </c>
      <c r="M56" s="153"/>
      <c r="N56" s="149">
        <f t="shared" si="15"/>
        <v>4077</v>
      </c>
      <c r="O56" s="67">
        <f t="shared" si="16"/>
        <v>2433287.691000002</v>
      </c>
      <c r="P56" s="7">
        <f t="shared" si="4"/>
        <v>121664384.5500001</v>
      </c>
      <c r="Q56" s="164">
        <f t="shared" si="19"/>
        <v>2645041.4500000002</v>
      </c>
      <c r="R56" s="29">
        <f t="shared" si="3"/>
        <v>1844.0239212271056</v>
      </c>
      <c r="S56" s="5">
        <f>SUM($Q$7:$Q56)/T56</f>
        <v>2625595.0200000019</v>
      </c>
      <c r="T56" s="18">
        <v>50</v>
      </c>
      <c r="U56" s="27"/>
      <c r="V56" s="137"/>
      <c r="W56" s="105">
        <v>-1526078</v>
      </c>
      <c r="X56" s="167"/>
      <c r="Y56" s="156">
        <f>Y55-K56-L56-1</f>
        <v>-1526078</v>
      </c>
      <c r="Z56" s="217"/>
    </row>
    <row r="57" spans="2:31">
      <c r="B57" s="116">
        <v>44084</v>
      </c>
      <c r="C57" s="14" t="str">
        <f t="shared" si="12"/>
        <v/>
      </c>
      <c r="D57" s="87"/>
      <c r="E57" s="87">
        <v>8</v>
      </c>
      <c r="F57" s="23">
        <v>-476021</v>
      </c>
      <c r="G57" s="26">
        <f t="shared" si="13"/>
        <v>1735</v>
      </c>
      <c r="H57" s="132">
        <v>300</v>
      </c>
      <c r="I57" s="25">
        <v>-1450</v>
      </c>
      <c r="J57" s="25">
        <v>-300</v>
      </c>
      <c r="K57" s="170">
        <f t="shared" si="14"/>
        <v>-1450</v>
      </c>
      <c r="L57" s="171">
        <v>-11</v>
      </c>
      <c r="M57" s="153"/>
      <c r="N57" s="149">
        <f t="shared" si="15"/>
        <v>274</v>
      </c>
      <c r="O57" s="67">
        <f t="shared" si="16"/>
        <v>2434653.2549019628</v>
      </c>
      <c r="P57" s="7">
        <f t="shared" si="4"/>
        <v>124167316.0000001</v>
      </c>
      <c r="Q57" s="164">
        <f t="shared" si="19"/>
        <v>2645315.4500000002</v>
      </c>
      <c r="R57" s="29">
        <f t="shared" si="3"/>
        <v>1844.2954932422469</v>
      </c>
      <c r="S57" s="5">
        <f>SUM($Q$7:$Q57)/T57</f>
        <v>2625981.6950980411</v>
      </c>
      <c r="T57" s="18">
        <v>51</v>
      </c>
      <c r="U57" s="27"/>
      <c r="V57" s="137"/>
      <c r="W57" s="105">
        <v>-1524618</v>
      </c>
      <c r="X57" s="167"/>
      <c r="Y57" s="156">
        <f>Y56-K57-L57-1</f>
        <v>-1524618</v>
      </c>
      <c r="Z57" s="217"/>
    </row>
    <row r="58" spans="2:31">
      <c r="B58" s="116">
        <v>44085</v>
      </c>
      <c r="C58" s="14" t="str">
        <f t="shared" si="12"/>
        <v/>
      </c>
      <c r="D58" s="87"/>
      <c r="E58" s="87">
        <v>0</v>
      </c>
      <c r="F58" s="23">
        <v>-500081</v>
      </c>
      <c r="G58" s="26">
        <f t="shared" si="13"/>
        <v>-24068</v>
      </c>
      <c r="H58" s="132">
        <v>300</v>
      </c>
      <c r="I58" s="25">
        <v>1900</v>
      </c>
      <c r="J58" s="25">
        <v>-300</v>
      </c>
      <c r="K58" s="170">
        <f t="shared" si="14"/>
        <v>1900</v>
      </c>
      <c r="L58" s="171">
        <v>-4</v>
      </c>
      <c r="M58" s="153"/>
      <c r="N58" s="149">
        <f>L58+K58+G58+M58</f>
        <v>-22172</v>
      </c>
      <c r="O58" s="67">
        <f t="shared" si="16"/>
        <v>2435539.912500002</v>
      </c>
      <c r="P58" s="7">
        <f t="shared" si="4"/>
        <v>126648075.45000011</v>
      </c>
      <c r="Q58" s="164">
        <f t="shared" si="19"/>
        <v>2623143.4500000002</v>
      </c>
      <c r="R58" s="29">
        <f t="shared" si="3"/>
        <v>1844.2599684385466</v>
      </c>
      <c r="S58" s="5">
        <f>SUM($Q$7:$Q58)/T58+4</f>
        <v>2625931.1134615401</v>
      </c>
      <c r="T58" s="18">
        <v>52</v>
      </c>
      <c r="U58" s="27"/>
      <c r="V58" s="137"/>
      <c r="W58" s="105">
        <v>-1526513</v>
      </c>
      <c r="X58" s="167"/>
      <c r="Y58" s="156">
        <f t="shared" si="18"/>
        <v>-1526513</v>
      </c>
      <c r="Z58" s="217"/>
    </row>
    <row r="59" spans="2:31">
      <c r="B59" s="116">
        <v>44086</v>
      </c>
      <c r="C59" s="14" t="str">
        <f t="shared" si="12"/>
        <v>F</v>
      </c>
      <c r="D59" s="87"/>
      <c r="E59" s="87"/>
      <c r="F59" s="23"/>
      <c r="G59" s="26"/>
      <c r="H59" s="132"/>
      <c r="I59" s="25"/>
      <c r="J59" s="25"/>
      <c r="K59" s="170"/>
      <c r="L59" s="171"/>
      <c r="M59" s="153"/>
      <c r="N59" s="149">
        <f t="shared" si="15"/>
        <v>0</v>
      </c>
      <c r="O59" s="67">
        <f t="shared" si="16"/>
        <v>2436393.1113207568</v>
      </c>
      <c r="P59" s="7">
        <f t="shared" si="4"/>
        <v>129128834.90000011</v>
      </c>
      <c r="Q59" s="164">
        <f t="shared" si="19"/>
        <v>2623143.4500000002</v>
      </c>
      <c r="R59" s="29">
        <f t="shared" si="3"/>
        <v>1844.2230809005473</v>
      </c>
      <c r="S59" s="5">
        <f>SUM($Q$7:$Q59)/T59+4</f>
        <v>2625878.5915094353</v>
      </c>
      <c r="T59" s="18">
        <v>53</v>
      </c>
      <c r="U59" s="27"/>
      <c r="V59" s="137"/>
      <c r="W59" s="105">
        <v>-1526513</v>
      </c>
      <c r="X59" s="167"/>
      <c r="Y59" s="156">
        <f>Y58-K59-L59</f>
        <v>-1526513</v>
      </c>
      <c r="Z59" s="217"/>
    </row>
    <row r="60" spans="2:31">
      <c r="B60" s="116">
        <v>44087</v>
      </c>
      <c r="C60" s="14" t="str">
        <f t="shared" ref="C60:C62" si="20">IF(OR(WEEKDAY(B60)=1,WEEKDAY(B60)=7),"F","")</f>
        <v>F</v>
      </c>
      <c r="D60" s="87"/>
      <c r="G60" s="26"/>
      <c r="H60" s="132"/>
      <c r="I60" s="25"/>
      <c r="J60" s="25"/>
      <c r="K60" s="170"/>
      <c r="L60" s="171"/>
      <c r="M60" s="153"/>
      <c r="N60" s="149">
        <f t="shared" ref="N60" si="21">L60+K60+G60+M60</f>
        <v>0</v>
      </c>
      <c r="O60" s="67">
        <f t="shared" ref="O60" si="22">P60/T60</f>
        <v>2437214.7101851874</v>
      </c>
      <c r="P60" s="7">
        <f t="shared" si="4"/>
        <v>131609594.35000011</v>
      </c>
      <c r="Q60" s="164">
        <f t="shared" si="19"/>
        <v>2623143.4500000002</v>
      </c>
      <c r="R60" s="29">
        <f t="shared" si="3"/>
        <v>1844.1875595676593</v>
      </c>
      <c r="S60" s="5">
        <f>SUM($Q$7:$Q60)/T60+4</f>
        <v>2625828.0148148159</v>
      </c>
      <c r="T60" s="18">
        <v>54</v>
      </c>
      <c r="U60" s="27"/>
      <c r="V60" s="137"/>
      <c r="W60" s="105">
        <v>-1526513</v>
      </c>
      <c r="X60" s="167"/>
      <c r="Y60" s="156">
        <f>Y59-K60-L60</f>
        <v>-1526513</v>
      </c>
      <c r="Z60" s="217"/>
    </row>
    <row r="61" spans="2:31">
      <c r="B61" s="116">
        <v>44088</v>
      </c>
      <c r="C61" s="14" t="str">
        <f t="shared" si="20"/>
        <v/>
      </c>
      <c r="D61" s="87"/>
      <c r="E61" s="87">
        <v>0</v>
      </c>
      <c r="F61" s="23">
        <v>-491268</v>
      </c>
      <c r="G61" s="26">
        <f>D61+E61+F61-E58-F58</f>
        <v>8813</v>
      </c>
      <c r="H61" s="132">
        <v>300</v>
      </c>
      <c r="I61" s="25">
        <v>-14200</v>
      </c>
      <c r="J61" s="25">
        <v>100</v>
      </c>
      <c r="K61" s="170">
        <f t="shared" ref="K61:K62" si="23">+H61+I61+J61</f>
        <v>-13800</v>
      </c>
      <c r="L61" s="171">
        <v>-26</v>
      </c>
      <c r="M61" s="153"/>
      <c r="N61" s="149">
        <f t="shared" ref="N61:N62" si="24">L61+K61+G61+M61</f>
        <v>-5013</v>
      </c>
      <c r="O61" s="67">
        <f t="shared" ref="O61:O62" si="25">P61/T61</f>
        <v>2437915.2872727294</v>
      </c>
      <c r="P61" s="7">
        <f t="shared" si="4"/>
        <v>134085340.80000012</v>
      </c>
      <c r="Q61" s="164">
        <f t="shared" ref="Q61:Q62" si="26">Q60+N61</f>
        <v>2618130.4500000002</v>
      </c>
      <c r="R61" s="29">
        <f t="shared" si="3"/>
        <v>1844.0893160876101</v>
      </c>
      <c r="S61" s="5">
        <f>SUM($Q$7:$Q61)/T61+4</f>
        <v>2625688.1318181828</v>
      </c>
      <c r="T61" s="18">
        <v>55</v>
      </c>
      <c r="U61" s="27"/>
      <c r="V61" s="137"/>
      <c r="W61" s="105">
        <v>-1512684</v>
      </c>
      <c r="X61" s="167"/>
      <c r="Y61" s="156">
        <f>Y60-K61-L61</f>
        <v>-1512687</v>
      </c>
      <c r="Z61" s="217"/>
    </row>
    <row r="62" spans="2:31">
      <c r="B62" s="116">
        <v>44089</v>
      </c>
      <c r="C62" s="14" t="str">
        <f t="shared" si="20"/>
        <v/>
      </c>
      <c r="D62" s="87"/>
      <c r="E62" s="87">
        <v>0</v>
      </c>
      <c r="F62" s="23">
        <v>-490672</v>
      </c>
      <c r="G62" s="26">
        <f>D62+E62+F62-E61-F61</f>
        <v>596</v>
      </c>
      <c r="H62" s="132">
        <v>300</v>
      </c>
      <c r="I62" s="25">
        <v>-8200</v>
      </c>
      <c r="J62" s="25">
        <v>100</v>
      </c>
      <c r="K62" s="170">
        <f t="shared" si="23"/>
        <v>-7800</v>
      </c>
      <c r="L62" s="171">
        <v>-9</v>
      </c>
      <c r="M62" s="153"/>
      <c r="N62" s="149">
        <f t="shared" si="24"/>
        <v>-7213</v>
      </c>
      <c r="O62" s="67">
        <f t="shared" si="25"/>
        <v>2438462.0401785737</v>
      </c>
      <c r="P62" s="7">
        <f t="shared" si="4"/>
        <v>136553874.25000012</v>
      </c>
      <c r="Q62" s="164">
        <f t="shared" si="26"/>
        <v>2610917.4500000002</v>
      </c>
      <c r="R62" s="29">
        <f t="shared" si="3"/>
        <v>1843.9041191927668</v>
      </c>
      <c r="S62" s="5">
        <f>SUM($Q$7:$Q62)/T62+4</f>
        <v>2625424.4410714293</v>
      </c>
      <c r="T62" s="18">
        <v>56</v>
      </c>
      <c r="U62" s="27"/>
      <c r="V62" s="137"/>
      <c r="W62" s="105">
        <v>-1504892</v>
      </c>
      <c r="X62" s="167"/>
      <c r="Y62" s="156">
        <f>Y61-K62-L62-14</f>
        <v>-1504892</v>
      </c>
      <c r="Z62" s="217"/>
    </row>
    <row r="65" spans="4:7" ht="12.75" thickBot="1"/>
    <row r="66" spans="4:7" ht="13.5" thickTop="1" thickBot="1">
      <c r="D66" s="141" t="s">
        <v>58</v>
      </c>
      <c r="E66" s="20"/>
      <c r="F66" s="21"/>
      <c r="G66" s="22"/>
    </row>
    <row r="67" spans="4:7">
      <c r="D67" s="27" t="s">
        <v>59</v>
      </c>
      <c r="E67" s="139"/>
      <c r="F67" s="142"/>
      <c r="G67" s="90">
        <f>'July 2020'!Q48</f>
        <v>2446643.4500000002</v>
      </c>
    </row>
    <row r="68" spans="4:7">
      <c r="D68" s="138" t="s">
        <v>4</v>
      </c>
      <c r="E68" s="139"/>
      <c r="F68" s="143"/>
      <c r="G68" s="91">
        <f>'July 2020'!E48</f>
        <v>0</v>
      </c>
    </row>
    <row r="69" spans="4:7">
      <c r="D69" s="138" t="s">
        <v>60</v>
      </c>
      <c r="E69" s="144"/>
      <c r="F69" s="143"/>
      <c r="G69" s="91">
        <f>'July 2020'!F48</f>
        <v>-447965</v>
      </c>
    </row>
    <row r="70" spans="4:7" ht="12.75" thickBot="1">
      <c r="D70" s="140" t="s">
        <v>46</v>
      </c>
      <c r="E70" s="145"/>
      <c r="F70" s="146"/>
      <c r="G70" s="158">
        <f>'July 2020'!W48</f>
        <v>-1304143</v>
      </c>
    </row>
    <row r="71" spans="4:7" ht="12.75" thickTop="1"/>
    <row r="65514" spans="23:23">
      <c r="W65514" s="105"/>
    </row>
    <row r="65521" spans="23:23">
      <c r="W65521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B1:IU65514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143556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44090</v>
      </c>
      <c r="C7" s="196" t="str">
        <f t="shared" ref="C7:C55" si="0">IF(OR(WEEKDAY(B7)=1,WEEKDAY(B7)=7),"F","")</f>
        <v/>
      </c>
      <c r="D7" s="197">
        <f>-1666+1679</f>
        <v>13</v>
      </c>
      <c r="E7" s="197">
        <v>4</v>
      </c>
      <c r="F7" s="198">
        <v>-313722</v>
      </c>
      <c r="G7" s="199">
        <f>D7+E7+F7-G61-G62</f>
        <v>176967</v>
      </c>
      <c r="H7" s="132">
        <v>2800</v>
      </c>
      <c r="I7" s="63">
        <v>-28400</v>
      </c>
      <c r="J7" s="63">
        <v>100</v>
      </c>
      <c r="K7" s="168">
        <f t="shared" ref="K7:K9" si="1">+H7+I7+J7</f>
        <v>-25500</v>
      </c>
      <c r="L7" s="169">
        <v>-46</v>
      </c>
      <c r="M7" s="203"/>
      <c r="N7" s="204">
        <f>L7+K7+G7+M7</f>
        <v>151421</v>
      </c>
      <c r="O7" s="205">
        <f t="shared" ref="O7:O55" si="2">P7/T7</f>
        <v>2618781.4500000002</v>
      </c>
      <c r="P7" s="206">
        <f>(+$Q7-$Q$3)</f>
        <v>2618781.4500000002</v>
      </c>
      <c r="Q7" s="207">
        <f>G60+N7-1</f>
        <v>2762337.45</v>
      </c>
      <c r="R7" s="208">
        <f t="shared" ref="R7:R55" si="3">$S7/$Q$3*100</f>
        <v>1924.2229164925188</v>
      </c>
      <c r="S7" s="209">
        <f>$Q7</f>
        <v>2762337.45</v>
      </c>
      <c r="T7" s="210">
        <v>1</v>
      </c>
      <c r="U7" s="211">
        <f>B7</f>
        <v>44090</v>
      </c>
      <c r="V7" s="212" t="s">
        <v>349</v>
      </c>
      <c r="W7" s="213">
        <v>-1479346</v>
      </c>
      <c r="X7" s="214">
        <f>AVERAGE(W7:W11)</f>
        <v>-1469877.6</v>
      </c>
      <c r="Y7" s="215">
        <f>-L7-K7+'Aug 2020 '!Y62</f>
        <v>-1479346</v>
      </c>
      <c r="Z7" s="216">
        <f>AVERAGE(Y7:Y13)</f>
        <v>-1467917</v>
      </c>
      <c r="AA7" s="92"/>
    </row>
    <row r="8" spans="2:255">
      <c r="B8" s="116">
        <v>44091</v>
      </c>
      <c r="C8" s="14"/>
      <c r="D8" s="128"/>
      <c r="E8" s="128">
        <v>0</v>
      </c>
      <c r="F8" s="162">
        <v>-336341</v>
      </c>
      <c r="G8" s="26">
        <f>D8+E8+F8-E7-F7</f>
        <v>-22623</v>
      </c>
      <c r="H8" s="132">
        <v>300</v>
      </c>
      <c r="I8" s="63">
        <v>-2100</v>
      </c>
      <c r="J8" s="63">
        <v>-100</v>
      </c>
      <c r="K8" s="170">
        <f t="shared" si="1"/>
        <v>-1900</v>
      </c>
      <c r="L8" s="171">
        <v>44</v>
      </c>
      <c r="M8" s="153"/>
      <c r="N8" s="149">
        <f>L8+K8+G8+M8</f>
        <v>-24479</v>
      </c>
      <c r="O8" s="67">
        <f t="shared" si="2"/>
        <v>1297151.2250000001</v>
      </c>
      <c r="P8" s="163">
        <f>(IF($Q8&lt;0,-$Q$3+P6,($Q8-$Q$3)+P6))</f>
        <v>2594302.4500000002</v>
      </c>
      <c r="Q8" s="164">
        <f>Q7+N8</f>
        <v>2737858.45</v>
      </c>
      <c r="R8" s="29">
        <f t="shared" si="3"/>
        <v>1915.6969753963613</v>
      </c>
      <c r="S8" s="165">
        <f>SUM($Q$7:$Q8)/T8</f>
        <v>2750097.95</v>
      </c>
      <c r="T8" s="166">
        <v>2</v>
      </c>
      <c r="U8" s="138">
        <f>B7+6</f>
        <v>44096</v>
      </c>
      <c r="V8" s="131">
        <v>1898.8</v>
      </c>
      <c r="W8" s="105">
        <v>-1477490</v>
      </c>
      <c r="X8" s="167"/>
      <c r="Y8" s="156">
        <f>Y7-K8-L8</f>
        <v>-1477490</v>
      </c>
      <c r="Z8" s="217"/>
      <c r="AA8" s="92"/>
    </row>
    <row r="9" spans="2:255">
      <c r="B9" s="116">
        <v>44092</v>
      </c>
      <c r="C9" s="14" t="str">
        <f t="shared" si="0"/>
        <v/>
      </c>
      <c r="D9" s="87"/>
      <c r="E9" s="87">
        <v>0</v>
      </c>
      <c r="F9" s="23">
        <v>-328774</v>
      </c>
      <c r="G9" s="26">
        <f>D9+E9+F9-E8-F8</f>
        <v>7567</v>
      </c>
      <c r="H9" s="132">
        <v>-3700</v>
      </c>
      <c r="I9" s="63">
        <v>-9400</v>
      </c>
      <c r="J9" s="63">
        <v>-200</v>
      </c>
      <c r="K9" s="170">
        <f t="shared" si="1"/>
        <v>-13300</v>
      </c>
      <c r="L9" s="171">
        <v>-8</v>
      </c>
      <c r="M9" s="153"/>
      <c r="N9" s="149">
        <f>L9+K9+G9+M9</f>
        <v>-5741</v>
      </c>
      <c r="O9" s="67">
        <f t="shared" si="2"/>
        <v>1735781.6333333335</v>
      </c>
      <c r="P9" s="7">
        <f>(IF($Q9&lt;0,-$Q$3+P7,($Q9-$Q$3)+P7))</f>
        <v>5207344.9000000004</v>
      </c>
      <c r="Q9" s="164">
        <f>Q8+N9+2</f>
        <v>2732119.45</v>
      </c>
      <c r="R9" s="29">
        <f t="shared" si="3"/>
        <v>1911.5231106095646</v>
      </c>
      <c r="S9" s="5">
        <f>SUM($Q$7:$Q9)/T9+1</f>
        <v>2744106.1166666667</v>
      </c>
      <c r="T9" s="17">
        <v>3</v>
      </c>
      <c r="U9" s="4"/>
      <c r="V9" s="131"/>
      <c r="W9" s="105">
        <v>-1464184</v>
      </c>
      <c r="X9" s="167"/>
      <c r="Y9" s="156">
        <f>Y8-K9-L9-2</f>
        <v>-1464184</v>
      </c>
      <c r="Z9" s="217"/>
      <c r="AA9" s="92"/>
    </row>
    <row r="10" spans="2:255">
      <c r="B10" s="116">
        <v>44093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1948977.0875000001</v>
      </c>
      <c r="P10" s="7">
        <f t="shared" ref="P10:P55" si="4">(IF($Q10&lt;0,-$Q$3+P9,($Q10-$Q$3)+P9))</f>
        <v>7795908.3500000006</v>
      </c>
      <c r="Q10" s="164">
        <f t="shared" ref="Q10:Q25" si="5">Q9+N10</f>
        <v>2732119.45</v>
      </c>
      <c r="R10" s="29">
        <f t="shared" si="3"/>
        <v>1909.43443673549</v>
      </c>
      <c r="S10" s="5">
        <f>SUM($Q$7:$Q10)/T10-1</f>
        <v>2741107.7</v>
      </c>
      <c r="T10" s="17">
        <v>4</v>
      </c>
      <c r="U10" s="27"/>
      <c r="V10" s="133"/>
      <c r="W10" s="105">
        <v>-1464184</v>
      </c>
      <c r="X10" s="167"/>
      <c r="Y10" s="156">
        <f>Y9-K10-L10</f>
        <v>-1464184</v>
      </c>
      <c r="Z10" s="217"/>
      <c r="AA10" s="92"/>
    </row>
    <row r="11" spans="2:255">
      <c r="B11" s="116">
        <v>44094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2076894.36</v>
      </c>
      <c r="P11" s="7">
        <f t="shared" si="4"/>
        <v>10384471.800000001</v>
      </c>
      <c r="Q11" s="164">
        <f t="shared" si="5"/>
        <v>2732119.45</v>
      </c>
      <c r="R11" s="29">
        <f t="shared" si="3"/>
        <v>1908.18206832177</v>
      </c>
      <c r="S11" s="5">
        <f>SUM($Q$7:$Q11)/T11-1</f>
        <v>2739309.85</v>
      </c>
      <c r="T11" s="17">
        <v>5</v>
      </c>
      <c r="U11" s="27"/>
      <c r="V11" s="134"/>
      <c r="W11" s="105">
        <v>-1464184</v>
      </c>
      <c r="X11" s="167"/>
      <c r="Y11" s="156">
        <f t="shared" ref="Y11:Y39" si="7">Y10-K11-L11</f>
        <v>-1464184</v>
      </c>
      <c r="Z11" s="217"/>
      <c r="AA11" s="92"/>
    </row>
    <row r="12" spans="2:255">
      <c r="B12" s="116">
        <v>44095</v>
      </c>
      <c r="C12" s="14" t="str">
        <f t="shared" si="0"/>
        <v/>
      </c>
      <c r="D12" s="87"/>
      <c r="E12" s="161">
        <v>0</v>
      </c>
      <c r="F12" s="23">
        <v>-328266</v>
      </c>
      <c r="G12" s="26">
        <f>D12+E12+F12-E9-F9</f>
        <v>508</v>
      </c>
      <c r="H12" s="132">
        <v>300</v>
      </c>
      <c r="I12" s="63">
        <v>-5200</v>
      </c>
      <c r="J12" s="63">
        <v>0</v>
      </c>
      <c r="K12" s="170">
        <f t="shared" ref="K12:K55" si="8">+H12+I12+J12</f>
        <v>-4900</v>
      </c>
      <c r="L12" s="171">
        <v>38</v>
      </c>
      <c r="M12" s="153"/>
      <c r="N12" s="149">
        <f t="shared" si="6"/>
        <v>-4354</v>
      </c>
      <c r="O12" s="67">
        <f t="shared" si="2"/>
        <v>2161446.875</v>
      </c>
      <c r="P12" s="7">
        <f t="shared" si="4"/>
        <v>12968681.25</v>
      </c>
      <c r="Q12" s="164">
        <f>Q11+N12</f>
        <v>2727765.45</v>
      </c>
      <c r="R12" s="29">
        <f t="shared" si="3"/>
        <v>1906.8472349930805</v>
      </c>
      <c r="S12" s="5">
        <f>SUM($Q$7:$Q12)/T12+7</f>
        <v>2737393.6166666667</v>
      </c>
      <c r="T12" s="17">
        <v>6</v>
      </c>
      <c r="U12" s="138">
        <f>B12</f>
        <v>44095</v>
      </c>
      <c r="V12" s="131" t="s">
        <v>351</v>
      </c>
      <c r="W12" s="105">
        <v>-1459321</v>
      </c>
      <c r="X12" s="167">
        <f>AVERAGE(W12:W20)</f>
        <v>-1464928.888888889</v>
      </c>
      <c r="Y12" s="156">
        <f>Y11-K12-L12+1</f>
        <v>-1459321</v>
      </c>
      <c r="Z12" s="217">
        <f>AVERAGE(Y12:Y20)</f>
        <v>-1464928.888888889</v>
      </c>
      <c r="AA12" s="92"/>
    </row>
    <row r="13" spans="2:255">
      <c r="B13" s="116">
        <v>44096</v>
      </c>
      <c r="C13" s="14"/>
      <c r="D13" s="87"/>
      <c r="E13" s="87">
        <v>4</v>
      </c>
      <c r="F13" s="23">
        <v>-327238</v>
      </c>
      <c r="G13" s="26">
        <f>D13+E13+F13-E12-F12</f>
        <v>1032</v>
      </c>
      <c r="H13" s="132">
        <v>300</v>
      </c>
      <c r="I13" s="63">
        <v>7200</v>
      </c>
      <c r="J13" s="63">
        <v>-100</v>
      </c>
      <c r="K13" s="170">
        <f t="shared" si="8"/>
        <v>7400</v>
      </c>
      <c r="L13" s="171">
        <v>-12</v>
      </c>
      <c r="M13" s="153"/>
      <c r="N13" s="149">
        <f t="shared" si="6"/>
        <v>8420</v>
      </c>
      <c r="O13" s="67">
        <f t="shared" si="2"/>
        <v>2223044.3857142855</v>
      </c>
      <c r="P13" s="7">
        <f>(IF($Q13&lt;0,-$Q$3+P12,($Q13-$Q$3)+P12))</f>
        <v>15561310.699999999</v>
      </c>
      <c r="Q13" s="164">
        <f>Q12+N13</f>
        <v>2736185.45</v>
      </c>
      <c r="R13" s="29">
        <f t="shared" si="3"/>
        <v>1906.7270064842787</v>
      </c>
      <c r="S13" s="5">
        <f>SUM($Q$7:$Q13)/T13+6</f>
        <v>2737221.0214285711</v>
      </c>
      <c r="T13" s="17">
        <v>7</v>
      </c>
      <c r="U13" s="138">
        <f>B14+6</f>
        <v>44103</v>
      </c>
      <c r="V13" s="249">
        <v>1933.9</v>
      </c>
      <c r="W13" s="105">
        <v>-1466710</v>
      </c>
      <c r="X13" s="167"/>
      <c r="Y13" s="156">
        <f>Y12-K13-L13-1</f>
        <v>-1466710</v>
      </c>
      <c r="Z13" s="217"/>
      <c r="AA13" s="92"/>
      <c r="AB13" s="92"/>
    </row>
    <row r="14" spans="2:255">
      <c r="B14" s="116">
        <v>44097</v>
      </c>
      <c r="C14" s="14"/>
      <c r="D14" s="87">
        <f>-1679+1860</f>
        <v>181</v>
      </c>
      <c r="E14" s="87">
        <v>0</v>
      </c>
      <c r="F14" s="23">
        <v>-335163</v>
      </c>
      <c r="G14" s="26">
        <f>D14+E14+F14-E13-F13</f>
        <v>-7748</v>
      </c>
      <c r="H14" s="132">
        <v>300</v>
      </c>
      <c r="I14" s="63">
        <v>-7000</v>
      </c>
      <c r="J14" s="63">
        <v>-100</v>
      </c>
      <c r="K14" s="170">
        <f t="shared" si="8"/>
        <v>-6800</v>
      </c>
      <c r="L14" s="171">
        <v>49</v>
      </c>
      <c r="M14" s="154"/>
      <c r="N14" s="149">
        <f>L14+K14+G14+M14</f>
        <v>-14499</v>
      </c>
      <c r="O14" s="67">
        <f t="shared" si="2"/>
        <v>2267430.0187499998</v>
      </c>
      <c r="P14" s="7">
        <f t="shared" si="4"/>
        <v>18139440.149999999</v>
      </c>
      <c r="Q14" s="164">
        <f>Q13+N14-1</f>
        <v>2721685.45</v>
      </c>
      <c r="R14" s="29">
        <f t="shared" si="3"/>
        <v>1905.3740874641253</v>
      </c>
      <c r="S14" s="5">
        <f>SUM($Q$7:$Q14)/T14+5</f>
        <v>2735278.8249999997</v>
      </c>
      <c r="T14" s="17">
        <v>8</v>
      </c>
      <c r="U14" s="4"/>
      <c r="V14" s="4"/>
      <c r="W14" s="105">
        <v>-1459957</v>
      </c>
      <c r="X14" s="167"/>
      <c r="Y14" s="156">
        <f>Y13-K14-L14+2</f>
        <v>-1459957</v>
      </c>
      <c r="Z14" s="217"/>
      <c r="AA14" s="92"/>
    </row>
    <row r="15" spans="2:255">
      <c r="B15" s="116">
        <v>44098</v>
      </c>
      <c r="C15" s="14" t="str">
        <f t="shared" si="0"/>
        <v/>
      </c>
      <c r="D15" s="87"/>
      <c r="E15" s="87">
        <v>1</v>
      </c>
      <c r="F15" s="23">
        <v>-324978</v>
      </c>
      <c r="G15" s="26">
        <f>D15+E15+F15-E14-F14</f>
        <v>10186</v>
      </c>
      <c r="H15" s="132">
        <v>300</v>
      </c>
      <c r="I15" s="63">
        <v>-1000</v>
      </c>
      <c r="J15" s="63">
        <v>-100</v>
      </c>
      <c r="K15" s="170">
        <f t="shared" si="8"/>
        <v>-800</v>
      </c>
      <c r="L15" s="172">
        <v>-6</v>
      </c>
      <c r="M15" s="153"/>
      <c r="N15" s="149">
        <f>L15+K15+G15+M15</f>
        <v>9380</v>
      </c>
      <c r="O15" s="67">
        <f t="shared" si="2"/>
        <v>2302994.4</v>
      </c>
      <c r="P15" s="7">
        <f t="shared" si="4"/>
        <v>20726949.599999998</v>
      </c>
      <c r="Q15" s="164">
        <f>Q14+N15</f>
        <v>2731065.45</v>
      </c>
      <c r="R15" s="29">
        <f t="shared" si="3"/>
        <v>1905.0483628533655</v>
      </c>
      <c r="S15" s="5">
        <f>SUM($Q$7:$Q15)/T15+5</f>
        <v>2734811.2277777772</v>
      </c>
      <c r="T15" s="17">
        <v>9</v>
      </c>
      <c r="U15" s="4"/>
      <c r="V15" s="4"/>
      <c r="W15" s="105">
        <v>-1459152</v>
      </c>
      <c r="X15" s="167"/>
      <c r="Y15" s="156">
        <f>Y14-K15-L15-1</f>
        <v>-1459152</v>
      </c>
      <c r="Z15" s="217"/>
      <c r="AA15" s="92"/>
      <c r="AB15" s="92"/>
    </row>
    <row r="16" spans="2:255" s="69" customFormat="1">
      <c r="B16" s="116">
        <v>44099</v>
      </c>
      <c r="C16" s="14" t="str">
        <f t="shared" si="0"/>
        <v/>
      </c>
      <c r="D16" s="129"/>
      <c r="E16" s="87">
        <v>0</v>
      </c>
      <c r="F16" s="23">
        <v>-333823</v>
      </c>
      <c r="G16" s="26">
        <f>D16+E16+F16-E15-F15</f>
        <v>-8846</v>
      </c>
      <c r="H16" s="132">
        <v>300</v>
      </c>
      <c r="I16" s="63">
        <v>-200</v>
      </c>
      <c r="J16" s="63">
        <v>-100</v>
      </c>
      <c r="K16" s="170">
        <f t="shared" si="8"/>
        <v>0</v>
      </c>
      <c r="L16" s="172">
        <v>9</v>
      </c>
      <c r="M16" s="153"/>
      <c r="N16" s="152">
        <f>L16+K16+G16+M16</f>
        <v>-8837</v>
      </c>
      <c r="O16" s="67">
        <f t="shared" si="2"/>
        <v>2330562.3049999997</v>
      </c>
      <c r="P16" s="70">
        <f t="shared" si="4"/>
        <v>23305623.049999997</v>
      </c>
      <c r="Q16" s="164">
        <f>Q15+N16+1</f>
        <v>2722229.45</v>
      </c>
      <c r="R16" s="71">
        <f t="shared" si="3"/>
        <v>1904.1687912730918</v>
      </c>
      <c r="S16" s="72">
        <f>SUM($Q$7:$Q16)/T16</f>
        <v>2733548.55</v>
      </c>
      <c r="T16" s="73">
        <v>10</v>
      </c>
      <c r="U16" s="218"/>
      <c r="V16" s="133"/>
      <c r="W16" s="105">
        <v>-1459162</v>
      </c>
      <c r="X16" s="167"/>
      <c r="Y16" s="156">
        <f>Y15-K16-L16-1</f>
        <v>-1459162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44100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2353117.8636363633</v>
      </c>
      <c r="P17" s="7">
        <f t="shared" si="4"/>
        <v>25884296.499999996</v>
      </c>
      <c r="Q17" s="164">
        <f t="shared" si="5"/>
        <v>2722229.45</v>
      </c>
      <c r="R17" s="29">
        <f t="shared" si="3"/>
        <v>1903.4519914939751</v>
      </c>
      <c r="S17" s="5">
        <f>SUM($Q$7:$Q17)/T17</f>
        <v>2732519.5409090905</v>
      </c>
      <c r="T17" s="18">
        <v>11</v>
      </c>
      <c r="U17" s="27"/>
      <c r="V17" s="136"/>
      <c r="W17" s="105">
        <v>-1459162</v>
      </c>
      <c r="X17" s="167"/>
      <c r="Y17" s="156">
        <f t="shared" si="7"/>
        <v>-1459162</v>
      </c>
      <c r="Z17" s="217"/>
      <c r="AA17" s="92"/>
      <c r="AC17" s="92"/>
    </row>
    <row r="18" spans="2:31">
      <c r="B18" s="116">
        <v>44101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2371914.1624999996</v>
      </c>
      <c r="P18" s="7">
        <f t="shared" si="4"/>
        <v>28462969.949999996</v>
      </c>
      <c r="Q18" s="164">
        <f t="shared" si="5"/>
        <v>2722229.45</v>
      </c>
      <c r="R18" s="29">
        <f t="shared" si="3"/>
        <v>1902.857444713793</v>
      </c>
      <c r="S18" s="5">
        <f>SUM($Q$7:$Q18)/T18+4</f>
        <v>2731666.0333333327</v>
      </c>
      <c r="T18" s="18">
        <v>12</v>
      </c>
      <c r="U18" s="27"/>
      <c r="V18" s="136"/>
      <c r="W18" s="105">
        <v>-1459162</v>
      </c>
      <c r="X18" s="167"/>
      <c r="Y18" s="156">
        <f t="shared" si="7"/>
        <v>-1459162</v>
      </c>
      <c r="Z18" s="217"/>
      <c r="AA18" s="92"/>
    </row>
    <row r="19" spans="2:31">
      <c r="B19" s="116">
        <v>44102</v>
      </c>
      <c r="C19" s="14" t="str">
        <f t="shared" si="0"/>
        <v/>
      </c>
      <c r="D19" s="87"/>
      <c r="E19" s="87">
        <v>0</v>
      </c>
      <c r="F19" s="23">
        <v>-370228</v>
      </c>
      <c r="G19" s="26">
        <f>D19+E19+F19-E16-F16</f>
        <v>-36405</v>
      </c>
      <c r="H19" s="132">
        <v>9300</v>
      </c>
      <c r="I19" s="63">
        <v>4800</v>
      </c>
      <c r="J19" s="63">
        <v>-300</v>
      </c>
      <c r="K19" s="170">
        <f t="shared" si="8"/>
        <v>13800</v>
      </c>
      <c r="L19" s="171">
        <v>10</v>
      </c>
      <c r="M19" s="153"/>
      <c r="N19" s="149">
        <f t="shared" si="6"/>
        <v>-22595</v>
      </c>
      <c r="O19" s="67">
        <f t="shared" si="2"/>
        <v>2386080.7230769228</v>
      </c>
      <c r="P19" s="7">
        <f t="shared" si="4"/>
        <v>31019049.399999995</v>
      </c>
      <c r="Q19" s="164">
        <f>Q18+N19+1</f>
        <v>2699635.45</v>
      </c>
      <c r="R19" s="29">
        <f t="shared" si="3"/>
        <v>1901.1413316057844</v>
      </c>
      <c r="S19" s="5">
        <f>SUM($Q$7:$Q19)/T19+4</f>
        <v>2729202.4499999997</v>
      </c>
      <c r="T19" s="18">
        <v>13</v>
      </c>
      <c r="U19" s="138">
        <f>B19</f>
        <v>44102</v>
      </c>
      <c r="V19" s="131" t="s">
        <v>352</v>
      </c>
      <c r="W19" s="105">
        <v>-1472973</v>
      </c>
      <c r="X19" s="167">
        <f>AVERAGE(W19:W27)</f>
        <v>-1526616.2222222222</v>
      </c>
      <c r="Y19" s="156">
        <f>Y18-K19-L19-1</f>
        <v>-1472973</v>
      </c>
      <c r="Z19" s="217">
        <f>AVERAGE(Y19:Y27)</f>
        <v>-1526616.2222222222</v>
      </c>
      <c r="AA19" s="92"/>
    </row>
    <row r="20" spans="2:31">
      <c r="B20" s="116">
        <v>44103</v>
      </c>
      <c r="C20" s="14"/>
      <c r="D20" s="87"/>
      <c r="E20" s="87">
        <v>1</v>
      </c>
      <c r="F20" s="23">
        <v>-347862</v>
      </c>
      <c r="G20" s="26">
        <f>D20+E20+F20-E19-F19</f>
        <v>22367</v>
      </c>
      <c r="H20" s="132">
        <v>300</v>
      </c>
      <c r="I20" s="63">
        <v>15900</v>
      </c>
      <c r="J20" s="63">
        <v>-400</v>
      </c>
      <c r="K20" s="170">
        <f t="shared" si="8"/>
        <v>15800</v>
      </c>
      <c r="L20" s="171">
        <v>-11</v>
      </c>
      <c r="M20" s="153"/>
      <c r="N20" s="149">
        <f t="shared" si="6"/>
        <v>38156</v>
      </c>
      <c r="O20" s="67">
        <f t="shared" si="2"/>
        <v>2400948.8464285708</v>
      </c>
      <c r="P20" s="7">
        <f t="shared" si="4"/>
        <v>33613283.849999994</v>
      </c>
      <c r="Q20" s="164">
        <f>Q19+N20-1</f>
        <v>2737790.45</v>
      </c>
      <c r="R20" s="29">
        <f t="shared" si="3"/>
        <v>1901.5681436413067</v>
      </c>
      <c r="S20" s="5">
        <f>SUM($Q$7:$Q20)/T20+3</f>
        <v>2729815.1642857143</v>
      </c>
      <c r="T20" s="18">
        <v>14</v>
      </c>
      <c r="U20" s="138">
        <f>B19+8</f>
        <v>44110</v>
      </c>
      <c r="V20" s="131">
        <v>1907.6</v>
      </c>
      <c r="W20" s="105">
        <v>-1488761</v>
      </c>
      <c r="X20" s="167"/>
      <c r="Y20" s="156">
        <f>Y19-K20-L20+1</f>
        <v>-1488761</v>
      </c>
      <c r="Z20" s="217"/>
      <c r="AA20" s="92"/>
      <c r="AB20" s="92"/>
    </row>
    <row r="21" spans="2:31">
      <c r="B21" s="116">
        <v>44104</v>
      </c>
      <c r="C21" s="14" t="str">
        <f t="shared" si="0"/>
        <v/>
      </c>
      <c r="D21" s="87">
        <v>157211</v>
      </c>
      <c r="E21" s="87">
        <v>55</v>
      </c>
      <c r="F21" s="23">
        <v>-404584</v>
      </c>
      <c r="G21" s="26">
        <f>D21+E21+F21-E20-F20</f>
        <v>100543</v>
      </c>
      <c r="H21" s="132">
        <v>300</v>
      </c>
      <c r="I21" s="63">
        <v>-14500</v>
      </c>
      <c r="J21" s="63">
        <v>-400</v>
      </c>
      <c r="K21" s="170">
        <f t="shared" si="8"/>
        <v>-14600</v>
      </c>
      <c r="L21" s="171">
        <v>-32</v>
      </c>
      <c r="M21" s="153"/>
      <c r="N21" s="149">
        <f>L21+K21+G21+M21</f>
        <v>85911</v>
      </c>
      <c r="O21" s="67">
        <f t="shared" si="2"/>
        <v>2419562.02</v>
      </c>
      <c r="P21" s="7">
        <f t="shared" si="4"/>
        <v>36293430.299999997</v>
      </c>
      <c r="Q21" s="164">
        <f>Q20+N21+1</f>
        <v>2823702.45</v>
      </c>
      <c r="R21" s="29">
        <f t="shared" si="3"/>
        <v>1905.928360128916</v>
      </c>
      <c r="S21" s="5">
        <f>SUM($Q$7:$Q21)/T21+3</f>
        <v>2736074.5166666666</v>
      </c>
      <c r="T21" s="18">
        <v>15</v>
      </c>
      <c r="U21" s="4"/>
      <c r="V21" s="131"/>
      <c r="W21" s="105">
        <v>-1474130</v>
      </c>
      <c r="X21" s="167"/>
      <c r="Y21" s="156">
        <f>Y20-K21-L21-1</f>
        <v>-1474130</v>
      </c>
      <c r="Z21" s="217"/>
      <c r="AA21" s="92"/>
    </row>
    <row r="22" spans="2:31">
      <c r="B22" s="116">
        <v>44105</v>
      </c>
      <c r="C22" s="14" t="str">
        <f t="shared" si="0"/>
        <v/>
      </c>
      <c r="D22" s="87">
        <f>-1290+510</f>
        <v>-780</v>
      </c>
      <c r="E22" s="87">
        <v>0</v>
      </c>
      <c r="F22" s="23">
        <v>-461926</v>
      </c>
      <c r="G22" s="26">
        <f>D22+E22+F22-E21-F21</f>
        <v>-58177</v>
      </c>
      <c r="H22" s="132">
        <v>300</v>
      </c>
      <c r="I22" s="63">
        <v>70100</v>
      </c>
      <c r="J22" s="63">
        <v>-400</v>
      </c>
      <c r="K22" s="170">
        <f t="shared" si="8"/>
        <v>70000</v>
      </c>
      <c r="L22" s="171">
        <v>-39</v>
      </c>
      <c r="M22" s="153"/>
      <c r="N22" s="149">
        <f>L22+K22+G22+M22</f>
        <v>11784</v>
      </c>
      <c r="O22" s="67">
        <f t="shared" si="2"/>
        <v>2436584.984375</v>
      </c>
      <c r="P22" s="7">
        <f t="shared" si="4"/>
        <v>38985359.75</v>
      </c>
      <c r="Q22" s="164">
        <f>Q21+N22-1</f>
        <v>2835485.45</v>
      </c>
      <c r="R22" s="29">
        <f t="shared" si="3"/>
        <v>1910.2565462258631</v>
      </c>
      <c r="S22" s="5">
        <f>SUM($Q$7:$Q22)/T22+3</f>
        <v>2742287.8875000002</v>
      </c>
      <c r="T22" s="18">
        <v>16</v>
      </c>
      <c r="U22" s="4"/>
      <c r="V22" s="131"/>
      <c r="W22" s="105">
        <v>-1544090</v>
      </c>
      <c r="X22" s="167"/>
      <c r="Y22" s="156">
        <f>Y21-K22-L22+1</f>
        <v>-1544090</v>
      </c>
      <c r="Z22" s="217"/>
      <c r="AA22" s="92"/>
    </row>
    <row r="23" spans="2:31">
      <c r="B23" s="116">
        <v>44106</v>
      </c>
      <c r="C23" s="14" t="str">
        <f t="shared" si="0"/>
        <v/>
      </c>
      <c r="D23" s="87"/>
      <c r="E23" s="87">
        <v>0</v>
      </c>
      <c r="F23" s="23">
        <v>-495354</v>
      </c>
      <c r="G23" s="26">
        <f t="shared" ref="G23" si="9">D23+E23+F23-E22-F22</f>
        <v>-33428</v>
      </c>
      <c r="H23" s="132">
        <v>300</v>
      </c>
      <c r="I23" s="63">
        <v>5750</v>
      </c>
      <c r="J23" s="63">
        <v>-400</v>
      </c>
      <c r="K23" s="170">
        <f>+H23+I23+J23</f>
        <v>5650</v>
      </c>
      <c r="L23" s="171">
        <v>-14</v>
      </c>
      <c r="M23" s="153"/>
      <c r="N23" s="149">
        <f>L23+K23+G23+M23</f>
        <v>-27792</v>
      </c>
      <c r="O23" s="67">
        <f t="shared" si="2"/>
        <v>2449970.5411764709</v>
      </c>
      <c r="P23" s="7">
        <f t="shared" si="4"/>
        <v>41649499.200000003</v>
      </c>
      <c r="Q23" s="164">
        <f>Q22+N23+1+1</f>
        <v>2807695.45</v>
      </c>
      <c r="R23" s="29">
        <f t="shared" si="3"/>
        <v>1912.9347206992804</v>
      </c>
      <c r="S23" s="5">
        <f>SUM($Q$7:$Q23)/T23</f>
        <v>2746132.567647059</v>
      </c>
      <c r="T23" s="18">
        <v>17</v>
      </c>
      <c r="U23" s="27"/>
      <c r="V23" s="135"/>
      <c r="W23" s="105">
        <v>-1549727</v>
      </c>
      <c r="X23" s="167"/>
      <c r="Y23" s="156">
        <f>Y22-K23-L23-1</f>
        <v>-1549727</v>
      </c>
      <c r="Z23" s="217"/>
      <c r="AA23" s="92"/>
    </row>
    <row r="24" spans="2:31">
      <c r="B24" s="116">
        <v>44107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2461868.8138888893</v>
      </c>
      <c r="P24" s="7">
        <f t="shared" si="4"/>
        <v>44313638.650000006</v>
      </c>
      <c r="Q24" s="164">
        <f t="shared" si="5"/>
        <v>2807695.45</v>
      </c>
      <c r="R24" s="29">
        <f t="shared" si="3"/>
        <v>1915.3171778105952</v>
      </c>
      <c r="S24" s="5">
        <f>SUM($Q$7:$Q24)/T24</f>
        <v>2749552.7277777782</v>
      </c>
      <c r="T24" s="18">
        <v>18</v>
      </c>
      <c r="U24" s="4"/>
      <c r="V24" s="135"/>
      <c r="W24" s="105">
        <v>-1549727</v>
      </c>
      <c r="X24" s="167"/>
      <c r="Y24" s="156">
        <f t="shared" si="7"/>
        <v>-1549727</v>
      </c>
      <c r="Z24" s="217"/>
      <c r="AA24" s="92"/>
      <c r="AD24" s="1"/>
      <c r="AE24" s="1"/>
    </row>
    <row r="25" spans="2:31">
      <c r="B25" s="116">
        <v>44108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2472514.6368421055</v>
      </c>
      <c r="P25" s="7">
        <f t="shared" si="4"/>
        <v>46977778.100000009</v>
      </c>
      <c r="Q25" s="164">
        <f t="shared" si="5"/>
        <v>2807695.45</v>
      </c>
      <c r="R25" s="29">
        <f t="shared" si="3"/>
        <v>1917.4481533705539</v>
      </c>
      <c r="S25" s="5">
        <f>SUM($Q$7:$Q25)/T25-1</f>
        <v>2752611.8710526321</v>
      </c>
      <c r="T25" s="18">
        <v>19</v>
      </c>
      <c r="U25" s="4"/>
      <c r="V25" s="131"/>
      <c r="W25" s="105">
        <v>-1549727</v>
      </c>
      <c r="X25" s="167"/>
      <c r="Y25" s="156">
        <f t="shared" si="7"/>
        <v>-1549727</v>
      </c>
      <c r="Z25" s="217"/>
      <c r="AA25" s="92"/>
      <c r="AD25" s="1"/>
      <c r="AE25" s="1"/>
    </row>
    <row r="26" spans="2:31">
      <c r="B26" s="116">
        <v>44109</v>
      </c>
      <c r="C26" s="14" t="str">
        <f t="shared" si="0"/>
        <v/>
      </c>
      <c r="D26" s="87"/>
      <c r="E26" s="87">
        <v>0</v>
      </c>
      <c r="F26" s="23">
        <v>-539265</v>
      </c>
      <c r="G26" s="26">
        <f>D26+E26+F26-E23-F23</f>
        <v>-43911</v>
      </c>
      <c r="H26" s="132">
        <v>300</v>
      </c>
      <c r="I26" s="63">
        <v>4700</v>
      </c>
      <c r="J26" s="63">
        <v>-400</v>
      </c>
      <c r="K26" s="170">
        <f>+H26+I26+J26</f>
        <v>4600</v>
      </c>
      <c r="L26" s="171">
        <v>-1</v>
      </c>
      <c r="M26" s="153"/>
      <c r="N26" s="149">
        <f t="shared" si="6"/>
        <v>-39312</v>
      </c>
      <c r="O26" s="67">
        <f t="shared" si="2"/>
        <v>2480130.2275000005</v>
      </c>
      <c r="P26" s="7">
        <f t="shared" si="4"/>
        <v>49602604.550000012</v>
      </c>
      <c r="Q26" s="164">
        <f>Q25+N26-1</f>
        <v>2768382.45</v>
      </c>
      <c r="R26" s="29">
        <f t="shared" si="3"/>
        <v>1917.9974017108311</v>
      </c>
      <c r="S26" s="5">
        <f>SUM($Q$7:$Q26)/T26-1</f>
        <v>2753400.3500000006</v>
      </c>
      <c r="T26" s="18">
        <v>20</v>
      </c>
      <c r="U26" s="138">
        <f>B26</f>
        <v>44109</v>
      </c>
      <c r="V26" s="131" t="s">
        <v>353</v>
      </c>
      <c r="W26" s="105">
        <v>-1554324</v>
      </c>
      <c r="X26" s="167">
        <f>AVERAGE(W26:W34)</f>
        <v>-1573787.888888889</v>
      </c>
      <c r="Y26" s="156">
        <f>Y25-K26-L26+2</f>
        <v>-1554324</v>
      </c>
      <c r="Z26" s="217">
        <f>AVERAGE(Y26:Y34)</f>
        <v>-1573787.888888889</v>
      </c>
      <c r="AC26" s="92"/>
      <c r="AD26" s="1"/>
      <c r="AE26" s="1"/>
    </row>
    <row r="27" spans="2:31">
      <c r="B27" s="116">
        <v>44110</v>
      </c>
      <c r="C27" s="14" t="str">
        <f t="shared" si="0"/>
        <v/>
      </c>
      <c r="D27" s="87"/>
      <c r="E27" s="87">
        <v>0</v>
      </c>
      <c r="F27" s="23">
        <v>-532280</v>
      </c>
      <c r="G27" s="26">
        <f>D27+E27+F27-E26-F26</f>
        <v>6985</v>
      </c>
      <c r="H27" s="132">
        <v>300</v>
      </c>
      <c r="I27" s="63">
        <v>1900</v>
      </c>
      <c r="J27" s="63">
        <v>-400</v>
      </c>
      <c r="K27" s="170">
        <f t="shared" si="8"/>
        <v>1800</v>
      </c>
      <c r="L27" s="171">
        <v>-38</v>
      </c>
      <c r="M27" s="153"/>
      <c r="N27" s="149">
        <f>L27+K27+G27+M27</f>
        <v>8747</v>
      </c>
      <c r="O27" s="67">
        <f t="shared" si="2"/>
        <v>2487437.0000000009</v>
      </c>
      <c r="P27" s="7">
        <f t="shared" si="4"/>
        <v>52236177.000000015</v>
      </c>
      <c r="Q27" s="164">
        <f t="shared" ref="Q27:Q49" si="10">Q26+N27-1</f>
        <v>2777128.45</v>
      </c>
      <c r="R27" s="29">
        <f t="shared" si="3"/>
        <v>1918.7844547805475</v>
      </c>
      <c r="S27" s="5">
        <f>SUM($Q$7:$Q27)/T27-1</f>
        <v>2754530.2119047628</v>
      </c>
      <c r="T27" s="18">
        <v>21</v>
      </c>
      <c r="U27" s="138">
        <f>B28+6</f>
        <v>44117</v>
      </c>
      <c r="V27" s="159">
        <v>1867.1</v>
      </c>
      <c r="W27" s="105">
        <v>-1556087</v>
      </c>
      <c r="X27" s="167"/>
      <c r="Y27" s="156">
        <f>Y26-K27-L27-1</f>
        <v>-1556087</v>
      </c>
      <c r="Z27" s="217"/>
      <c r="AA27" s="92"/>
      <c r="AD27" s="1"/>
      <c r="AE27" s="1"/>
    </row>
    <row r="28" spans="2:31">
      <c r="B28" s="116">
        <v>44111</v>
      </c>
      <c r="C28" s="14" t="str">
        <f t="shared" si="0"/>
        <v/>
      </c>
      <c r="D28" s="87">
        <f>-1221+1168</f>
        <v>-53</v>
      </c>
      <c r="E28" s="87">
        <v>0</v>
      </c>
      <c r="F28" s="23">
        <v>-529190</v>
      </c>
      <c r="G28" s="26">
        <f>D28+E28+F28-E27-F27</f>
        <v>3037</v>
      </c>
      <c r="H28" s="132">
        <v>300</v>
      </c>
      <c r="I28" s="63">
        <v>8500</v>
      </c>
      <c r="J28" s="63">
        <v>-500</v>
      </c>
      <c r="K28" s="170">
        <f t="shared" si="8"/>
        <v>8300</v>
      </c>
      <c r="L28" s="171">
        <v>-33</v>
      </c>
      <c r="M28" s="153"/>
      <c r="N28" s="149">
        <f>L28+K28+G28+M28</f>
        <v>11304</v>
      </c>
      <c r="O28" s="67">
        <f t="shared" si="2"/>
        <v>2494593.3386363643</v>
      </c>
      <c r="P28" s="7">
        <f t="shared" si="4"/>
        <v>54881053.450000018</v>
      </c>
      <c r="Q28" s="164">
        <f>Q27+N28</f>
        <v>2788432.45</v>
      </c>
      <c r="R28" s="29">
        <f t="shared" si="3"/>
        <v>1919.8578793451532</v>
      </c>
      <c r="S28" s="5">
        <f>SUM($Q$7:$Q28)/T28-1</f>
        <v>2756071.1772727282</v>
      </c>
      <c r="T28" s="18">
        <v>22</v>
      </c>
      <c r="U28" s="4"/>
      <c r="V28" s="131"/>
      <c r="W28" s="105">
        <v>-1564354</v>
      </c>
      <c r="X28" s="167"/>
      <c r="Y28" s="156">
        <f>Y27-K28-L28</f>
        <v>-1564354</v>
      </c>
      <c r="Z28" s="217"/>
      <c r="AA28" s="92"/>
      <c r="AD28" s="1"/>
      <c r="AE28" s="1"/>
    </row>
    <row r="29" spans="2:31">
      <c r="B29" s="116">
        <v>44112</v>
      </c>
      <c r="C29" s="14" t="str">
        <f t="shared" si="0"/>
        <v/>
      </c>
      <c r="D29" s="87">
        <v>1008</v>
      </c>
      <c r="E29" s="87">
        <v>0</v>
      </c>
      <c r="F29" s="23">
        <v>-519929</v>
      </c>
      <c r="G29" s="26">
        <f>D29+E29+F29-E28-F28</f>
        <v>10269</v>
      </c>
      <c r="H29" s="132">
        <v>300</v>
      </c>
      <c r="I29" s="63">
        <v>3500</v>
      </c>
      <c r="J29" s="63">
        <v>-500</v>
      </c>
      <c r="K29" s="170">
        <f t="shared" si="8"/>
        <v>3300</v>
      </c>
      <c r="L29" s="171">
        <v>-23</v>
      </c>
      <c r="M29" s="153"/>
      <c r="N29" s="149">
        <f>L29+K29+G29+M29</f>
        <v>13546</v>
      </c>
      <c r="O29" s="67">
        <f t="shared" si="2"/>
        <v>2501716.4739130442</v>
      </c>
      <c r="P29" s="7">
        <f t="shared" si="4"/>
        <v>57539478.900000021</v>
      </c>
      <c r="Q29" s="164">
        <f>Q28+N29+3</f>
        <v>2801981.45</v>
      </c>
      <c r="R29" s="29">
        <f t="shared" si="3"/>
        <v>1921.2483160639031</v>
      </c>
      <c r="S29" s="5">
        <f>SUM($Q$7:$Q29)/T29-1</f>
        <v>2758067.2326086969</v>
      </c>
      <c r="T29" s="18">
        <v>23</v>
      </c>
      <c r="U29" s="4"/>
      <c r="V29" s="131"/>
      <c r="W29" s="105">
        <v>-1567633</v>
      </c>
      <c r="X29" s="167"/>
      <c r="Y29" s="156">
        <f>Y28-K29-L29-2</f>
        <v>-1567633</v>
      </c>
      <c r="Z29" s="217"/>
      <c r="AA29" s="92"/>
      <c r="AD29" s="1"/>
      <c r="AE29" s="1"/>
    </row>
    <row r="30" spans="2:31">
      <c r="B30" s="116">
        <v>44113</v>
      </c>
      <c r="C30" s="14" t="str">
        <f t="shared" si="0"/>
        <v/>
      </c>
      <c r="D30" s="87"/>
      <c r="E30" s="87">
        <v>0</v>
      </c>
      <c r="F30" s="23">
        <v>-550570</v>
      </c>
      <c r="G30" s="26">
        <f>D30+E30+F30-E29-F29</f>
        <v>-30641</v>
      </c>
      <c r="H30" s="132">
        <v>2950</v>
      </c>
      <c r="I30" s="25">
        <v>13800</v>
      </c>
      <c r="J30" s="25">
        <v>-500</v>
      </c>
      <c r="K30" s="170">
        <f t="shared" si="8"/>
        <v>16250</v>
      </c>
      <c r="L30" s="171">
        <v>-20</v>
      </c>
      <c r="M30" s="153"/>
      <c r="N30" s="149">
        <f t="shared" si="6"/>
        <v>-14411</v>
      </c>
      <c r="O30" s="67">
        <f t="shared" si="2"/>
        <v>2507645.5562500008</v>
      </c>
      <c r="P30" s="7">
        <f t="shared" si="4"/>
        <v>60183493.350000024</v>
      </c>
      <c r="Q30" s="164">
        <f>Q29+N30</f>
        <v>2787570.45</v>
      </c>
      <c r="R30" s="29">
        <f t="shared" si="3"/>
        <v>1922.1094845681598</v>
      </c>
      <c r="S30" s="5">
        <f>SUM($Q$7:$Q30)/T30+6</f>
        <v>2759303.4916666676</v>
      </c>
      <c r="T30" s="18">
        <v>24</v>
      </c>
      <c r="U30" s="4"/>
      <c r="V30" s="131"/>
      <c r="W30" s="105">
        <v>-1583863</v>
      </c>
      <c r="X30" s="167"/>
      <c r="Y30" s="156">
        <f>Y29-K30-L30</f>
        <v>-1583863</v>
      </c>
      <c r="Z30" s="217"/>
      <c r="AA30" s="92"/>
      <c r="AD30" s="1"/>
      <c r="AE30" s="1"/>
    </row>
    <row r="31" spans="2:31">
      <c r="B31" s="116">
        <v>44114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2513100.3120000008</v>
      </c>
      <c r="P31" s="7">
        <f t="shared" si="4"/>
        <v>62827507.800000027</v>
      </c>
      <c r="Q31" s="164">
        <f>Q30+N31</f>
        <v>2787570.45</v>
      </c>
      <c r="R31" s="29">
        <f t="shared" si="3"/>
        <v>1922.8944871687713</v>
      </c>
      <c r="S31" s="5">
        <f>SUM($Q$7:$Q31)/T31+2</f>
        <v>2760430.4100000011</v>
      </c>
      <c r="T31" s="18">
        <v>25</v>
      </c>
      <c r="U31" s="4"/>
      <c r="V31" s="137"/>
      <c r="W31" s="105">
        <v>-1583863</v>
      </c>
      <c r="X31" s="167"/>
      <c r="Y31" s="156">
        <f t="shared" si="7"/>
        <v>-1583863</v>
      </c>
      <c r="Z31" s="217"/>
      <c r="AA31" s="92"/>
      <c r="AB31" s="92"/>
      <c r="AD31" s="1"/>
      <c r="AE31" s="1"/>
    </row>
    <row r="32" spans="2:31">
      <c r="B32" s="116">
        <v>44115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2518135.4711538474</v>
      </c>
      <c r="P32" s="7">
        <f t="shared" si="4"/>
        <v>65471522.25000003</v>
      </c>
      <c r="Q32" s="164">
        <f>Q31+N32</f>
        <v>2787570.45</v>
      </c>
      <c r="R32" s="29">
        <f t="shared" si="3"/>
        <v>1923.6161042487852</v>
      </c>
      <c r="S32" s="5">
        <f>SUM($Q$7:$Q32)/T32-6</f>
        <v>2761466.3346153861</v>
      </c>
      <c r="T32" s="18">
        <v>26</v>
      </c>
      <c r="U32" s="27"/>
      <c r="V32" s="137"/>
      <c r="W32" s="105">
        <v>-1583863</v>
      </c>
      <c r="X32" s="167"/>
      <c r="Y32" s="156">
        <f t="shared" si="7"/>
        <v>-1583863</v>
      </c>
      <c r="Z32" s="217"/>
      <c r="AD32" s="1"/>
      <c r="AE32" s="1"/>
    </row>
    <row r="33" spans="2:31">
      <c r="B33" s="116">
        <v>44116</v>
      </c>
      <c r="C33" s="14" t="str">
        <f t="shared" si="0"/>
        <v/>
      </c>
      <c r="D33" s="87"/>
      <c r="E33" s="87">
        <v>0</v>
      </c>
      <c r="F33" s="23">
        <v>-524313</v>
      </c>
      <c r="G33" s="26">
        <f>D33+E33+F33-E30-F30</f>
        <v>26257</v>
      </c>
      <c r="H33" s="132">
        <v>300</v>
      </c>
      <c r="I33" s="25">
        <v>-1300</v>
      </c>
      <c r="J33" s="25">
        <v>100</v>
      </c>
      <c r="K33" s="170">
        <f t="shared" si="8"/>
        <v>-900</v>
      </c>
      <c r="L33" s="171">
        <v>-10</v>
      </c>
      <c r="M33" s="153"/>
      <c r="N33" s="149">
        <f t="shared" si="6"/>
        <v>25347</v>
      </c>
      <c r="O33" s="67">
        <f t="shared" si="2"/>
        <v>2523736.3962962977</v>
      </c>
      <c r="P33" s="7">
        <f t="shared" si="4"/>
        <v>68140882.700000033</v>
      </c>
      <c r="Q33" s="164">
        <f t="shared" si="10"/>
        <v>2812916.45</v>
      </c>
      <c r="R33" s="29">
        <f t="shared" si="3"/>
        <v>1924.9468306599681</v>
      </c>
      <c r="S33" s="5">
        <f>SUM($Q$7:$Q33)/T33-1</f>
        <v>2763376.6722222236</v>
      </c>
      <c r="T33" s="18">
        <v>27</v>
      </c>
      <c r="U33" s="138">
        <f>B33</f>
        <v>44116</v>
      </c>
      <c r="V33" s="131" t="s">
        <v>354</v>
      </c>
      <c r="W33" s="105">
        <v>-1582953</v>
      </c>
      <c r="X33" s="167">
        <f>AVERAGE(W33:W41)</f>
        <v>-1577661.5555555555</v>
      </c>
      <c r="Y33" s="156">
        <f>Y32-K33-L33</f>
        <v>-1582953</v>
      </c>
      <c r="Z33" s="217">
        <f>AVERAGE(Y33:Y41)</f>
        <v>-1575239.3333333333</v>
      </c>
      <c r="AD33" s="1"/>
      <c r="AE33" s="1"/>
    </row>
    <row r="34" spans="2:31">
      <c r="B34" s="116">
        <v>44117</v>
      </c>
      <c r="C34" s="14" t="str">
        <f t="shared" si="0"/>
        <v/>
      </c>
      <c r="D34" s="87"/>
      <c r="E34" s="87">
        <v>0</v>
      </c>
      <c r="F34" s="23">
        <v>-550042</v>
      </c>
      <c r="G34" s="26">
        <f>D34+E34+F34-E33-F33</f>
        <v>-25729</v>
      </c>
      <c r="H34" s="132">
        <v>300</v>
      </c>
      <c r="I34" s="25">
        <v>3800</v>
      </c>
      <c r="J34" s="25">
        <v>100</v>
      </c>
      <c r="K34" s="170">
        <f t="shared" si="8"/>
        <v>4200</v>
      </c>
      <c r="L34" s="171">
        <v>-2</v>
      </c>
      <c r="M34" s="153"/>
      <c r="N34" s="149">
        <f>L34+K34+G34+M34</f>
        <v>-21531</v>
      </c>
      <c r="O34" s="67">
        <f t="shared" si="2"/>
        <v>2528168.3267857158</v>
      </c>
      <c r="P34" s="7">
        <f t="shared" si="4"/>
        <v>70788713.150000036</v>
      </c>
      <c r="Q34" s="164">
        <f>Q33+N34+1</f>
        <v>2791386.45</v>
      </c>
      <c r="R34" s="29">
        <f t="shared" si="3"/>
        <v>1925.6443378989989</v>
      </c>
      <c r="S34" s="5">
        <f>SUM($Q$7:$Q34)/T34</f>
        <v>2764377.985714287</v>
      </c>
      <c r="T34" s="18">
        <v>28</v>
      </c>
      <c r="U34" s="138">
        <f>B33+8</f>
        <v>44124</v>
      </c>
      <c r="V34" s="131">
        <v>1881.8</v>
      </c>
      <c r="W34" s="105">
        <v>-1587151</v>
      </c>
      <c r="X34" s="167"/>
      <c r="Y34" s="156">
        <f>Y33-K34-L34</f>
        <v>-1587151</v>
      </c>
      <c r="Z34" s="217"/>
      <c r="AA34" s="92"/>
      <c r="AD34" s="1"/>
      <c r="AE34" s="1"/>
    </row>
    <row r="35" spans="2:31">
      <c r="B35" s="116">
        <v>44118</v>
      </c>
      <c r="C35" s="14" t="str">
        <f t="shared" si="0"/>
        <v/>
      </c>
      <c r="D35" s="87">
        <f>-1168+1010</f>
        <v>-158</v>
      </c>
      <c r="E35" s="87">
        <v>0</v>
      </c>
      <c r="F35" s="23">
        <v>-548970</v>
      </c>
      <c r="G35" s="26">
        <f>D35+E35+F35-E34-F34</f>
        <v>914</v>
      </c>
      <c r="H35" s="132">
        <v>300</v>
      </c>
      <c r="I35" s="25">
        <v>5600</v>
      </c>
      <c r="J35" s="25">
        <v>-100</v>
      </c>
      <c r="K35" s="170">
        <f t="shared" si="8"/>
        <v>5800</v>
      </c>
      <c r="L35" s="171">
        <v>-42</v>
      </c>
      <c r="M35" s="153"/>
      <c r="N35" s="149">
        <f t="shared" si="6"/>
        <v>6672</v>
      </c>
      <c r="O35" s="67">
        <f t="shared" si="2"/>
        <v>2532524.7103448291</v>
      </c>
      <c r="P35" s="7">
        <f t="shared" si="4"/>
        <v>73443216.600000039</v>
      </c>
      <c r="Q35" s="164">
        <f>Q34+N35+1</f>
        <v>2798059.45</v>
      </c>
      <c r="R35" s="29">
        <f t="shared" si="3"/>
        <v>1926.4533809225966</v>
      </c>
      <c r="S35" s="5">
        <f>SUM($Q$7:$Q35)/T35</f>
        <v>2765539.4155172426</v>
      </c>
      <c r="T35" s="18">
        <v>29</v>
      </c>
      <c r="U35" s="4"/>
      <c r="V35" s="131"/>
      <c r="W35" s="105">
        <v>-1592910</v>
      </c>
      <c r="X35" s="167"/>
      <c r="Y35" s="156">
        <f>Y34-K35-L35-1</f>
        <v>-1592910</v>
      </c>
      <c r="Z35" s="217"/>
      <c r="AA35" s="92"/>
      <c r="AD35" s="1"/>
      <c r="AE35" s="1"/>
    </row>
    <row r="36" spans="2:31">
      <c r="B36" s="116">
        <v>44119</v>
      </c>
      <c r="C36" s="14" t="str">
        <f t="shared" si="0"/>
        <v/>
      </c>
      <c r="D36" s="87"/>
      <c r="E36" s="87">
        <v>0</v>
      </c>
      <c r="F36" s="23">
        <v>-508698</v>
      </c>
      <c r="G36" s="26">
        <f>D36+E36+F36-E35-F35</f>
        <v>40272</v>
      </c>
      <c r="H36" s="132">
        <v>300</v>
      </c>
      <c r="I36" s="25">
        <v>-30400</v>
      </c>
      <c r="J36" s="25">
        <v>-100</v>
      </c>
      <c r="K36" s="170">
        <f t="shared" si="8"/>
        <v>-30200</v>
      </c>
      <c r="L36" s="171">
        <v>46</v>
      </c>
      <c r="M36" s="153"/>
      <c r="N36" s="149">
        <f t="shared" si="6"/>
        <v>10118</v>
      </c>
      <c r="O36" s="67">
        <f t="shared" si="2"/>
        <v>2536927.8016666682</v>
      </c>
      <c r="P36" s="7">
        <f t="shared" si="4"/>
        <v>76107834.050000042</v>
      </c>
      <c r="Q36" s="164">
        <f>Q35+N36-4</f>
        <v>2808173.45</v>
      </c>
      <c r="R36" s="29">
        <f t="shared" si="3"/>
        <v>1927.4433322187867</v>
      </c>
      <c r="S36" s="5">
        <f>SUM($Q$7:$Q36)/T36</f>
        <v>2766960.5500000017</v>
      </c>
      <c r="T36" s="18">
        <v>30</v>
      </c>
      <c r="U36" s="4"/>
      <c r="V36" s="136"/>
      <c r="W36" s="105">
        <v>-1562753</v>
      </c>
      <c r="X36" s="167"/>
      <c r="Y36" s="156">
        <f>Y35-K36-L36+3</f>
        <v>-1562753</v>
      </c>
      <c r="Z36" s="217"/>
      <c r="AD36" s="1"/>
      <c r="AE36" s="1"/>
    </row>
    <row r="37" spans="2:31">
      <c r="B37" s="116">
        <v>44120</v>
      </c>
      <c r="C37" s="14" t="str">
        <f t="shared" si="0"/>
        <v/>
      </c>
      <c r="D37" s="87"/>
      <c r="E37" s="87">
        <v>0</v>
      </c>
      <c r="F37" s="23">
        <v>-533956</v>
      </c>
      <c r="G37" s="26">
        <f>D37+E37+F37-E36-F36</f>
        <v>-25258</v>
      </c>
      <c r="H37" s="132">
        <v>2800</v>
      </c>
      <c r="I37" s="25">
        <v>3300</v>
      </c>
      <c r="J37" s="25">
        <v>-100</v>
      </c>
      <c r="K37" s="170">
        <f t="shared" si="8"/>
        <v>6000</v>
      </c>
      <c r="L37" s="171">
        <v>15</v>
      </c>
      <c r="M37" s="153"/>
      <c r="N37" s="149">
        <f t="shared" si="6"/>
        <v>-19243</v>
      </c>
      <c r="O37" s="67">
        <f t="shared" si="2"/>
        <v>2540426.1774193561</v>
      </c>
      <c r="P37" s="7">
        <f t="shared" si="4"/>
        <v>78753211.500000045</v>
      </c>
      <c r="Q37" s="164">
        <f>Q36+N37+3</f>
        <v>2788933.45</v>
      </c>
      <c r="R37" s="29">
        <f t="shared" si="3"/>
        <v>1927.9377756595391</v>
      </c>
      <c r="S37" s="5">
        <f>SUM($Q$7:$Q37)/T37+1</f>
        <v>2767670.3532258081</v>
      </c>
      <c r="T37" s="18">
        <v>31</v>
      </c>
      <c r="U37" s="27"/>
      <c r="V37" s="137"/>
      <c r="W37" s="105">
        <v>-1568765</v>
      </c>
      <c r="X37" s="167"/>
      <c r="Y37" s="156">
        <f>Y36-K37-L37+3</f>
        <v>-1568765</v>
      </c>
      <c r="Z37" s="217"/>
      <c r="AA37" s="92"/>
      <c r="AD37" s="1"/>
      <c r="AE37" s="1"/>
    </row>
    <row r="38" spans="2:31">
      <c r="B38" s="116">
        <v>44121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2543705.9046875015</v>
      </c>
      <c r="P38" s="7">
        <f t="shared" si="4"/>
        <v>81398588.950000048</v>
      </c>
      <c r="Q38" s="164">
        <f>Q37+N38</f>
        <v>2788933.45</v>
      </c>
      <c r="R38" s="29">
        <f t="shared" si="3"/>
        <v>1928.3999667377202</v>
      </c>
      <c r="S38" s="5">
        <f>SUM($Q$7:$Q38)/T38</f>
        <v>2768333.8562500016</v>
      </c>
      <c r="T38" s="18">
        <v>32</v>
      </c>
      <c r="U38" s="27"/>
      <c r="V38" s="137"/>
      <c r="W38" s="105">
        <v>-1568765</v>
      </c>
      <c r="X38" s="167"/>
      <c r="Y38" s="156">
        <f t="shared" si="7"/>
        <v>-1568765</v>
      </c>
      <c r="Z38" s="217"/>
      <c r="AD38" s="1"/>
      <c r="AE38" s="1"/>
    </row>
    <row r="39" spans="2:31">
      <c r="B39" s="116">
        <v>44122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2546786.8606060622</v>
      </c>
      <c r="P39" s="7">
        <f t="shared" si="4"/>
        <v>84043966.400000051</v>
      </c>
      <c r="Q39" s="164">
        <f>Q38+N39</f>
        <v>2788933.45</v>
      </c>
      <c r="R39" s="29">
        <f t="shared" si="3"/>
        <v>1928.834104017692</v>
      </c>
      <c r="S39" s="5">
        <f>SUM($Q$7:$Q39)/T39-1</f>
        <v>2768957.0863636378</v>
      </c>
      <c r="T39" s="18">
        <v>33</v>
      </c>
      <c r="U39" s="27"/>
      <c r="V39" s="137"/>
      <c r="W39" s="105">
        <v>-1568765</v>
      </c>
      <c r="X39" s="167"/>
      <c r="Y39" s="156">
        <f t="shared" si="7"/>
        <v>-1568765</v>
      </c>
      <c r="Z39" s="217"/>
      <c r="AD39" s="1"/>
      <c r="AE39" s="1"/>
    </row>
    <row r="40" spans="2:31">
      <c r="B40" s="116">
        <v>44123</v>
      </c>
      <c r="C40" s="14" t="str">
        <f t="shared" si="0"/>
        <v/>
      </c>
      <c r="D40" s="87"/>
      <c r="E40" s="87">
        <v>0</v>
      </c>
      <c r="F40" s="23">
        <v>-543465</v>
      </c>
      <c r="G40" s="26">
        <f>D40+E40+F40-E37-F37</f>
        <v>-9509</v>
      </c>
      <c r="H40" s="132">
        <v>300</v>
      </c>
      <c r="I40" s="25">
        <v>3700</v>
      </c>
      <c r="J40" s="25">
        <v>-200</v>
      </c>
      <c r="K40" s="170">
        <f t="shared" si="8"/>
        <v>3800</v>
      </c>
      <c r="L40" s="171">
        <v>-23</v>
      </c>
      <c r="M40" s="153"/>
      <c r="N40" s="149">
        <f t="shared" si="6"/>
        <v>-5732</v>
      </c>
      <c r="O40" s="67">
        <f t="shared" si="2"/>
        <v>2549517.8779411782</v>
      </c>
      <c r="P40" s="7">
        <f t="shared" si="4"/>
        <v>86683607.850000054</v>
      </c>
      <c r="Q40" s="164">
        <f>Q39+N40-4</f>
        <v>2783197.45</v>
      </c>
      <c r="R40" s="29">
        <f t="shared" si="3"/>
        <v>1929.1265368054785</v>
      </c>
      <c r="S40" s="5">
        <f>SUM($Q$7:$Q40)/T40</f>
        <v>2769376.8911764724</v>
      </c>
      <c r="T40" s="18">
        <v>34</v>
      </c>
      <c r="U40" s="138">
        <f>B40</f>
        <v>44123</v>
      </c>
      <c r="V40" s="131" t="s">
        <v>355</v>
      </c>
      <c r="W40" s="105">
        <v>-1594341</v>
      </c>
      <c r="X40" s="167">
        <f>AVERAGE(W40:W48)</f>
        <v>-1589573.3333333333</v>
      </c>
      <c r="Y40" s="156">
        <f>Y39-K40-L40+1</f>
        <v>-1572541</v>
      </c>
      <c r="Z40" s="217">
        <f>AVERAGE(Y40:Y48)</f>
        <v>-1587151.111111111</v>
      </c>
      <c r="AD40" s="1"/>
      <c r="AE40" s="1"/>
    </row>
    <row r="41" spans="2:31">
      <c r="B41" s="116">
        <v>44124</v>
      </c>
      <c r="C41" s="14" t="str">
        <f t="shared" si="0"/>
        <v/>
      </c>
      <c r="D41" s="87"/>
      <c r="E41" s="87">
        <v>0</v>
      </c>
      <c r="F41" s="23">
        <v>-543556</v>
      </c>
      <c r="G41" s="26">
        <f>D41+E41+F41-E40-F40</f>
        <v>-91</v>
      </c>
      <c r="H41" s="132">
        <v>-7700</v>
      </c>
      <c r="I41" s="25">
        <v>7900</v>
      </c>
      <c r="J41" s="25">
        <v>-200</v>
      </c>
      <c r="K41" s="170">
        <f t="shared" si="8"/>
        <v>0</v>
      </c>
      <c r="L41" s="171">
        <v>11</v>
      </c>
      <c r="M41" s="153"/>
      <c r="N41" s="149">
        <f t="shared" si="6"/>
        <v>-80</v>
      </c>
      <c r="O41" s="67">
        <f t="shared" si="2"/>
        <v>2552090.8942857161</v>
      </c>
      <c r="P41" s="7">
        <f t="shared" si="4"/>
        <v>89323181.300000057</v>
      </c>
      <c r="Q41" s="164">
        <f>Q40+N41+12</f>
        <v>2783129.45</v>
      </c>
      <c r="R41" s="29">
        <f t="shared" si="3"/>
        <v>1929.4030353510639</v>
      </c>
      <c r="S41" s="5">
        <f>SUM($Q$7:$Q41)/T41+4</f>
        <v>2769773.8214285732</v>
      </c>
      <c r="T41" s="18">
        <v>35</v>
      </c>
      <c r="U41" s="138">
        <f>B40+8</f>
        <v>44131</v>
      </c>
      <c r="V41" s="137">
        <v>1926.4</v>
      </c>
      <c r="W41" s="105">
        <v>-1572551</v>
      </c>
      <c r="X41" s="167"/>
      <c r="Y41" s="156">
        <f t="shared" ref="Y41:Y47" si="11">Y40-K41-L41+1</f>
        <v>-1572551</v>
      </c>
      <c r="Z41" s="217"/>
      <c r="AD41" s="1"/>
      <c r="AE41" s="1"/>
    </row>
    <row r="42" spans="2:31">
      <c r="B42" s="116">
        <v>44125</v>
      </c>
      <c r="C42" s="14" t="str">
        <f t="shared" si="0"/>
        <v/>
      </c>
      <c r="D42" s="87">
        <f>-1010+1007</f>
        <v>-3</v>
      </c>
      <c r="E42" s="87">
        <v>0</v>
      </c>
      <c r="F42" s="23">
        <v>-510935</v>
      </c>
      <c r="G42" s="26">
        <f t="shared" ref="G42:G55" si="12">D42+E42+F42-E41-F41</f>
        <v>32618</v>
      </c>
      <c r="H42" s="132">
        <v>-14100</v>
      </c>
      <c r="I42" s="25">
        <v>7200</v>
      </c>
      <c r="J42" s="25">
        <v>-300</v>
      </c>
      <c r="K42" s="170">
        <f t="shared" si="8"/>
        <v>-7200</v>
      </c>
      <c r="L42" s="171">
        <v>29</v>
      </c>
      <c r="M42" s="153"/>
      <c r="N42" s="149">
        <f t="shared" si="6"/>
        <v>25447</v>
      </c>
      <c r="O42" s="67">
        <f t="shared" si="2"/>
        <v>2555227.7708333349</v>
      </c>
      <c r="P42" s="7">
        <f t="shared" si="4"/>
        <v>91988199.75000006</v>
      </c>
      <c r="Q42" s="164">
        <f>Q41+N42-2</f>
        <v>2808574.45</v>
      </c>
      <c r="R42" s="29">
        <f t="shared" si="3"/>
        <v>1930.153896582365</v>
      </c>
      <c r="S42" s="5">
        <f>SUM($Q$7:$Q42)/T42+4</f>
        <v>2770851.7277777796</v>
      </c>
      <c r="T42" s="18">
        <v>36</v>
      </c>
      <c r="U42" s="27"/>
      <c r="V42" s="137"/>
      <c r="W42" s="105">
        <v>-1565379</v>
      </c>
      <c r="X42" s="167"/>
      <c r="Y42" s="156">
        <f t="shared" si="11"/>
        <v>-1565379</v>
      </c>
      <c r="Z42" s="217"/>
      <c r="AD42" s="1"/>
      <c r="AE42" s="1"/>
    </row>
    <row r="43" spans="2:31">
      <c r="B43" s="116">
        <v>44126</v>
      </c>
      <c r="C43" s="14" t="str">
        <f t="shared" si="0"/>
        <v/>
      </c>
      <c r="D43" s="87"/>
      <c r="E43" s="87">
        <v>0</v>
      </c>
      <c r="F43" s="23">
        <v>-544070</v>
      </c>
      <c r="G43" s="26">
        <f t="shared" si="12"/>
        <v>-33135</v>
      </c>
      <c r="H43" s="132">
        <v>-200</v>
      </c>
      <c r="I43" s="25">
        <v>11500</v>
      </c>
      <c r="J43" s="25">
        <v>-300</v>
      </c>
      <c r="K43" s="170">
        <f t="shared" si="8"/>
        <v>11000</v>
      </c>
      <c r="L43" s="171">
        <v>-35</v>
      </c>
      <c r="M43" s="153"/>
      <c r="N43" s="149">
        <f t="shared" si="6"/>
        <v>-22170</v>
      </c>
      <c r="O43" s="67">
        <f t="shared" si="2"/>
        <v>2557595.8702702718</v>
      </c>
      <c r="P43" s="7">
        <f t="shared" si="4"/>
        <v>94631047.200000063</v>
      </c>
      <c r="Q43" s="164">
        <f t="shared" si="10"/>
        <v>2786403.45</v>
      </c>
      <c r="R43" s="29">
        <f t="shared" si="3"/>
        <v>1930.44676133544</v>
      </c>
      <c r="S43" s="5">
        <f>SUM($Q$7:$Q43)/T43+4</f>
        <v>2771272.1527027045</v>
      </c>
      <c r="T43" s="18">
        <v>37</v>
      </c>
      <c r="U43" s="27"/>
      <c r="V43" s="137"/>
      <c r="W43" s="105">
        <v>-1576343</v>
      </c>
      <c r="X43" s="167"/>
      <c r="Y43" s="156">
        <f t="shared" si="11"/>
        <v>-1576343</v>
      </c>
      <c r="Z43" s="217"/>
      <c r="AD43" s="1"/>
      <c r="AE43" s="1"/>
    </row>
    <row r="44" spans="2:31">
      <c r="B44" s="116">
        <v>44127</v>
      </c>
      <c r="C44" s="14" t="str">
        <f t="shared" si="0"/>
        <v/>
      </c>
      <c r="D44" s="87"/>
      <c r="E44" s="87">
        <v>19</v>
      </c>
      <c r="F44" s="23">
        <v>-118264</v>
      </c>
      <c r="G44" s="26">
        <f t="shared" si="12"/>
        <v>425825</v>
      </c>
      <c r="H44" s="132">
        <v>-1200</v>
      </c>
      <c r="I44" s="25">
        <v>31500</v>
      </c>
      <c r="J44" s="25">
        <v>-300</v>
      </c>
      <c r="K44" s="170">
        <f t="shared" si="8"/>
        <v>30000</v>
      </c>
      <c r="L44" s="171">
        <v>3</v>
      </c>
      <c r="M44" s="153"/>
      <c r="N44" s="149">
        <f t="shared" si="6"/>
        <v>455828</v>
      </c>
      <c r="O44" s="67">
        <f t="shared" si="2"/>
        <v>2571834.5960526331</v>
      </c>
      <c r="P44" s="7">
        <f t="shared" si="4"/>
        <v>97729714.650000066</v>
      </c>
      <c r="Q44" s="164">
        <f>Q43+N44-8</f>
        <v>3242223.45</v>
      </c>
      <c r="R44" s="29">
        <f t="shared" si="3"/>
        <v>1939.0800197538915</v>
      </c>
      <c r="S44" s="5">
        <f>SUM($Q$7:$Q44)/T44+4</f>
        <v>2783665.7131578964</v>
      </c>
      <c r="T44" s="18">
        <v>38</v>
      </c>
      <c r="U44" s="27"/>
      <c r="V44" s="137"/>
      <c r="W44" s="105">
        <v>-1606344</v>
      </c>
      <c r="X44" s="167"/>
      <c r="Y44" s="156">
        <f>Y43-K44-L44+2</f>
        <v>-1606344</v>
      </c>
      <c r="Z44" s="217"/>
      <c r="AD44" s="1"/>
      <c r="AE44" s="1"/>
    </row>
    <row r="45" spans="2:31">
      <c r="B45" s="116">
        <v>44128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>
        <f t="shared" si="6"/>
        <v>0</v>
      </c>
      <c r="O45" s="67">
        <f t="shared" si="2"/>
        <v>2585343.1307692328</v>
      </c>
      <c r="P45" s="7">
        <f t="shared" si="4"/>
        <v>100828382.10000007</v>
      </c>
      <c r="Q45" s="164">
        <f>Q44+N45</f>
        <v>3242223.45</v>
      </c>
      <c r="R45" s="29">
        <f t="shared" si="3"/>
        <v>1947.2705469713965</v>
      </c>
      <c r="S45" s="5">
        <f>SUM($Q$7:$Q45)/T45+4</f>
        <v>2795423.7064102581</v>
      </c>
      <c r="T45" s="18">
        <v>39</v>
      </c>
      <c r="U45" s="27"/>
      <c r="V45" s="137"/>
      <c r="W45" s="105">
        <v>-1606344</v>
      </c>
      <c r="X45" s="167"/>
      <c r="Y45" s="156">
        <f>Y44-K45-L45</f>
        <v>-1606344</v>
      </c>
      <c r="Z45" s="217"/>
      <c r="AD45" s="1"/>
      <c r="AE45" s="1"/>
    </row>
    <row r="46" spans="2:31">
      <c r="B46" s="116">
        <v>44129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>
        <f t="shared" si="6"/>
        <v>0</v>
      </c>
      <c r="O46" s="67">
        <f t="shared" si="2"/>
        <v>2598176.2387500019</v>
      </c>
      <c r="P46" s="7">
        <f t="shared" si="4"/>
        <v>103927049.55000007</v>
      </c>
      <c r="Q46" s="164">
        <f>Q45+N46</f>
        <v>3242223.45</v>
      </c>
      <c r="R46" s="29">
        <f t="shared" si="3"/>
        <v>1955.048761458944</v>
      </c>
      <c r="S46" s="5">
        <f>SUM($Q$7:$Q46)/T46</f>
        <v>2806589.8000000017</v>
      </c>
      <c r="T46" s="18">
        <v>40</v>
      </c>
      <c r="U46" s="27"/>
      <c r="V46" s="137"/>
      <c r="W46" s="105">
        <v>-1606344</v>
      </c>
      <c r="X46" s="167"/>
      <c r="Y46" s="156">
        <f>Y45-K46-L46</f>
        <v>-1606344</v>
      </c>
      <c r="Z46" s="217"/>
      <c r="AD46" s="1"/>
      <c r="AE46" s="1"/>
    </row>
    <row r="47" spans="2:31">
      <c r="B47" s="116">
        <v>44130</v>
      </c>
      <c r="C47" s="14" t="str">
        <f t="shared" si="0"/>
        <v/>
      </c>
      <c r="D47" s="87"/>
      <c r="E47" s="87">
        <v>0</v>
      </c>
      <c r="F47" s="23">
        <v>-593409</v>
      </c>
      <c r="G47" s="26">
        <f>D47+E47+F47-E44-F44</f>
        <v>-475164</v>
      </c>
      <c r="H47" s="132">
        <v>300</v>
      </c>
      <c r="I47" s="25">
        <v>-14300</v>
      </c>
      <c r="J47" s="25">
        <v>-400</v>
      </c>
      <c r="K47" s="170">
        <f t="shared" si="8"/>
        <v>-14400</v>
      </c>
      <c r="L47" s="171">
        <v>48</v>
      </c>
      <c r="M47" s="153"/>
      <c r="N47" s="149">
        <f t="shared" si="6"/>
        <v>-489516</v>
      </c>
      <c r="O47" s="67">
        <f t="shared" si="2"/>
        <v>2598444.0731707336</v>
      </c>
      <c r="P47" s="7">
        <f t="shared" si="4"/>
        <v>106536207.00000007</v>
      </c>
      <c r="Q47" s="164">
        <f>Q46+N47+6</f>
        <v>2752713.45</v>
      </c>
      <c r="R47" s="29">
        <f t="shared" si="3"/>
        <v>1954.1333992887296</v>
      </c>
      <c r="S47" s="5">
        <f>SUM($Q$7:$Q47)/T47</f>
        <v>2805275.7426829287</v>
      </c>
      <c r="T47" s="18">
        <v>41</v>
      </c>
      <c r="U47" s="138">
        <f>+B47</f>
        <v>44130</v>
      </c>
      <c r="V47" s="137" t="s">
        <v>356</v>
      </c>
      <c r="W47" s="105">
        <v>-1591991</v>
      </c>
      <c r="X47" s="167"/>
      <c r="Y47" s="156">
        <f t="shared" si="11"/>
        <v>-1591991</v>
      </c>
      <c r="Z47" s="217"/>
      <c r="AD47" s="1"/>
      <c r="AE47" s="1"/>
    </row>
    <row r="48" spans="2:31">
      <c r="B48" s="116">
        <v>44131</v>
      </c>
      <c r="C48" s="14" t="str">
        <f t="shared" si="0"/>
        <v/>
      </c>
      <c r="D48" s="87"/>
      <c r="E48" s="87">
        <v>0</v>
      </c>
      <c r="F48" s="23">
        <v>-603631</v>
      </c>
      <c r="G48" s="26">
        <f t="shared" si="12"/>
        <v>-10222</v>
      </c>
      <c r="H48" s="132">
        <v>300</v>
      </c>
      <c r="I48" s="25">
        <v>-5300</v>
      </c>
      <c r="J48" s="25">
        <v>-500</v>
      </c>
      <c r="K48" s="170">
        <f t="shared" si="8"/>
        <v>-5500</v>
      </c>
      <c r="L48" s="171">
        <v>31</v>
      </c>
      <c r="M48" s="153"/>
      <c r="N48" s="149">
        <f t="shared" si="6"/>
        <v>-15691</v>
      </c>
      <c r="O48" s="67">
        <f t="shared" si="2"/>
        <v>2598325.558333335</v>
      </c>
      <c r="P48" s="7">
        <f t="shared" si="4"/>
        <v>109129673.45000008</v>
      </c>
      <c r="Q48" s="164">
        <f>Q47+N48</f>
        <v>2737022.45</v>
      </c>
      <c r="R48" s="29">
        <f t="shared" si="3"/>
        <v>1953.0013822380927</v>
      </c>
      <c r="S48" s="5">
        <f>SUM($Q$7:$Q48)/T48</f>
        <v>2803650.6642857161</v>
      </c>
      <c r="T48" s="18">
        <v>42</v>
      </c>
      <c r="U48" s="138">
        <f>+U47+8</f>
        <v>44138</v>
      </c>
      <c r="V48" s="137">
        <v>1879.7</v>
      </c>
      <c r="W48" s="105">
        <v>-1586523</v>
      </c>
      <c r="X48" s="167"/>
      <c r="Y48" s="156">
        <f>Y47-K48-L48-1</f>
        <v>-1586523</v>
      </c>
      <c r="Z48" s="217"/>
      <c r="AD48" s="1"/>
      <c r="AE48" s="1"/>
    </row>
    <row r="49" spans="2:31">
      <c r="B49" s="116">
        <v>44132</v>
      </c>
      <c r="C49" s="14" t="str">
        <f t="shared" si="0"/>
        <v/>
      </c>
      <c r="D49" s="87">
        <f>-1007+1036</f>
        <v>29</v>
      </c>
      <c r="E49" s="87">
        <v>2</v>
      </c>
      <c r="F49" s="23">
        <v>-601196</v>
      </c>
      <c r="G49" s="26">
        <f t="shared" si="12"/>
        <v>2466</v>
      </c>
      <c r="H49" s="132">
        <v>300</v>
      </c>
      <c r="I49" s="25">
        <v>6700</v>
      </c>
      <c r="J49" s="25">
        <v>-500</v>
      </c>
      <c r="K49" s="170">
        <f t="shared" si="8"/>
        <v>6500</v>
      </c>
      <c r="L49" s="171">
        <v>34</v>
      </c>
      <c r="M49" s="153"/>
      <c r="N49" s="149">
        <f t="shared" si="6"/>
        <v>9000</v>
      </c>
      <c r="O49" s="67">
        <f t="shared" si="2"/>
        <v>2598421.8348837229</v>
      </c>
      <c r="P49" s="7">
        <f t="shared" si="4"/>
        <v>111732138.90000008</v>
      </c>
      <c r="Q49" s="164">
        <f t="shared" si="10"/>
        <v>2746021.45</v>
      </c>
      <c r="R49" s="29">
        <f t="shared" si="3"/>
        <v>1952.0677993257</v>
      </c>
      <c r="S49" s="5">
        <f>SUM($Q$7:$Q49)/T49</f>
        <v>2802310.450000002</v>
      </c>
      <c r="T49" s="18">
        <v>43</v>
      </c>
      <c r="U49" s="27"/>
      <c r="V49" s="137"/>
      <c r="W49" s="105">
        <v>-1593056</v>
      </c>
      <c r="X49" s="167"/>
      <c r="Y49" s="156">
        <f>Y48-K49-L49+1</f>
        <v>-1593056</v>
      </c>
      <c r="Z49" s="217"/>
      <c r="AD49" s="1"/>
      <c r="AE49" s="1"/>
    </row>
    <row r="50" spans="2:31">
      <c r="B50" s="116">
        <v>44133</v>
      </c>
      <c r="C50" s="14" t="str">
        <f t="shared" si="0"/>
        <v/>
      </c>
      <c r="D50" s="87">
        <f>-148+92</f>
        <v>-56</v>
      </c>
      <c r="E50" s="87">
        <v>1</v>
      </c>
      <c r="F50" s="23">
        <v>-596083</v>
      </c>
      <c r="G50" s="26">
        <f t="shared" si="12"/>
        <v>5056</v>
      </c>
      <c r="H50" s="132">
        <v>300</v>
      </c>
      <c r="I50" s="25">
        <v>-5400</v>
      </c>
      <c r="J50" s="25">
        <v>-500</v>
      </c>
      <c r="K50" s="170">
        <f t="shared" si="8"/>
        <v>-5600</v>
      </c>
      <c r="L50" s="171">
        <v>29</v>
      </c>
      <c r="M50" s="153"/>
      <c r="N50" s="149">
        <f t="shared" si="6"/>
        <v>-515</v>
      </c>
      <c r="O50" s="67">
        <f t="shared" si="2"/>
        <v>2598502.0534090926</v>
      </c>
      <c r="P50" s="7">
        <f t="shared" si="4"/>
        <v>114334090.35000008</v>
      </c>
      <c r="Q50" s="164">
        <f>Q49+N50+1</f>
        <v>2745507.45</v>
      </c>
      <c r="R50" s="29">
        <f t="shared" si="3"/>
        <v>1951.168514535982</v>
      </c>
      <c r="S50" s="5">
        <f>SUM($Q$7:$Q50)/T50</f>
        <v>2801019.4727272745</v>
      </c>
      <c r="T50" s="18">
        <v>44</v>
      </c>
      <c r="U50" s="27"/>
      <c r="V50" s="137"/>
      <c r="W50" s="105">
        <v>-1587486</v>
      </c>
      <c r="X50" s="167"/>
      <c r="Y50" s="156">
        <f>Y49-K50-L50-1</f>
        <v>-1587486</v>
      </c>
      <c r="Z50" s="217"/>
      <c r="AD50" s="1"/>
      <c r="AE50" s="1"/>
    </row>
    <row r="51" spans="2:31">
      <c r="B51" s="116">
        <v>44134</v>
      </c>
      <c r="C51" s="14" t="str">
        <f t="shared" si="0"/>
        <v/>
      </c>
      <c r="D51" s="87"/>
      <c r="E51" s="87">
        <v>20</v>
      </c>
      <c r="F51" s="23">
        <v>-620202</v>
      </c>
      <c r="G51" s="26">
        <f t="shared" si="12"/>
        <v>-24100</v>
      </c>
      <c r="H51" s="132">
        <v>300</v>
      </c>
      <c r="I51" s="25">
        <v>28750</v>
      </c>
      <c r="J51" s="25">
        <v>-500</v>
      </c>
      <c r="K51" s="170">
        <f t="shared" si="8"/>
        <v>28550</v>
      </c>
      <c r="L51" s="171">
        <v>8</v>
      </c>
      <c r="M51" s="153"/>
      <c r="N51" s="149">
        <f t="shared" si="6"/>
        <v>4458</v>
      </c>
      <c r="O51" s="67">
        <f t="shared" si="2"/>
        <v>2598677.7733333353</v>
      </c>
      <c r="P51" s="7">
        <f t="shared" si="4"/>
        <v>116940499.80000009</v>
      </c>
      <c r="Q51" s="164">
        <f>Q50+N51</f>
        <v>2749965.45</v>
      </c>
      <c r="R51" s="29">
        <f t="shared" si="3"/>
        <v>1950.3809934024985</v>
      </c>
      <c r="S51" s="5">
        <f>SUM($Q$7:$Q51)/T51+4</f>
        <v>2799888.9388888907</v>
      </c>
      <c r="T51" s="18">
        <v>45</v>
      </c>
      <c r="U51" s="27"/>
      <c r="V51" s="137"/>
      <c r="W51" s="105">
        <v>-1616044</v>
      </c>
      <c r="X51" s="167"/>
      <c r="Y51" s="156">
        <f>Y50-K51-L51</f>
        <v>-1616044</v>
      </c>
      <c r="Z51" s="217"/>
    </row>
    <row r="52" spans="2:31">
      <c r="B52" s="116">
        <v>44135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6"/>
        <v>0</v>
      </c>
      <c r="O52" s="67">
        <f t="shared" si="2"/>
        <v>2598845.8532608715</v>
      </c>
      <c r="P52" s="7">
        <f t="shared" si="4"/>
        <v>119546909.25000009</v>
      </c>
      <c r="Q52" s="164">
        <f>Q51+N52</f>
        <v>2749965.45</v>
      </c>
      <c r="R52" s="29">
        <f t="shared" si="3"/>
        <v>1949.6250470956961</v>
      </c>
      <c r="S52" s="5">
        <f>SUM($Q$7:$Q52)/T52+4</f>
        <v>2798803.7326086978</v>
      </c>
      <c r="T52" s="18">
        <v>46</v>
      </c>
      <c r="U52" s="27"/>
      <c r="V52" s="137"/>
      <c r="W52" s="105">
        <v>-1616044</v>
      </c>
      <c r="X52" s="167"/>
      <c r="Y52" s="156">
        <f>Y51-K52-L52</f>
        <v>-1616044</v>
      </c>
      <c r="Z52" s="217"/>
    </row>
    <row r="53" spans="2:31">
      <c r="B53" s="116">
        <v>44136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6"/>
        <v>0</v>
      </c>
      <c r="O53" s="67">
        <f t="shared" si="2"/>
        <v>2599006.7808510656</v>
      </c>
      <c r="P53" s="7">
        <f t="shared" si="4"/>
        <v>122153318.70000009</v>
      </c>
      <c r="Q53" s="164">
        <f>Q52+N53</f>
        <v>2749965.45</v>
      </c>
      <c r="R53" s="29">
        <f t="shared" si="3"/>
        <v>1948.9054482704664</v>
      </c>
      <c r="S53" s="5">
        <f>SUM($Q$7:$Q53)/T53+10</f>
        <v>2797770.7053191508</v>
      </c>
      <c r="T53" s="18">
        <v>47</v>
      </c>
      <c r="U53" s="27"/>
      <c r="V53" s="137"/>
      <c r="W53" s="105">
        <v>-1616044</v>
      </c>
      <c r="X53" s="167"/>
      <c r="Y53" s="156">
        <f>Y52-K53-L53</f>
        <v>-1616044</v>
      </c>
      <c r="Z53" s="217"/>
    </row>
    <row r="54" spans="2:31">
      <c r="B54" s="116">
        <v>44137</v>
      </c>
      <c r="C54" s="14" t="str">
        <f t="shared" si="0"/>
        <v/>
      </c>
      <c r="D54" s="87"/>
      <c r="E54" s="87">
        <v>0</v>
      </c>
      <c r="F54" s="23">
        <v>-644254</v>
      </c>
      <c r="G54" s="26">
        <f>D54+E54+F54-E51-F51</f>
        <v>-24072</v>
      </c>
      <c r="H54" s="132">
        <v>8300</v>
      </c>
      <c r="I54" s="25">
        <v>43100</v>
      </c>
      <c r="J54" s="25">
        <v>-500</v>
      </c>
      <c r="K54" s="170">
        <f t="shared" si="8"/>
        <v>50900</v>
      </c>
      <c r="L54" s="171">
        <v>3</v>
      </c>
      <c r="M54" s="153"/>
      <c r="N54" s="149">
        <f t="shared" si="6"/>
        <v>26831</v>
      </c>
      <c r="O54" s="67">
        <f t="shared" si="2"/>
        <v>2599719.9822916687</v>
      </c>
      <c r="P54" s="7">
        <f t="shared" si="4"/>
        <v>124786559.1500001</v>
      </c>
      <c r="Q54" s="164">
        <f>Q53+N54</f>
        <v>2776796.45</v>
      </c>
      <c r="R54" s="29">
        <f t="shared" si="3"/>
        <v>1948.5970283373745</v>
      </c>
      <c r="S54" s="5">
        <f>SUM($Q$7:$Q54)/T54+4</f>
        <v>2797327.9500000016</v>
      </c>
      <c r="T54" s="18">
        <v>48</v>
      </c>
      <c r="U54" s="138"/>
      <c r="V54" s="137"/>
      <c r="W54" s="105">
        <v>-1666947</v>
      </c>
      <c r="X54" s="167"/>
      <c r="Y54" s="156">
        <f>Y53-K54-L54</f>
        <v>-1666947</v>
      </c>
      <c r="Z54" s="217"/>
    </row>
    <row r="55" spans="2:31">
      <c r="B55" s="116">
        <v>44138</v>
      </c>
      <c r="C55" s="14" t="str">
        <f t="shared" si="0"/>
        <v/>
      </c>
      <c r="D55" s="87"/>
      <c r="E55" s="87">
        <v>0</v>
      </c>
      <c r="F55" s="23">
        <v>-646784</v>
      </c>
      <c r="G55" s="26">
        <f t="shared" si="12"/>
        <v>-2530</v>
      </c>
      <c r="H55" s="132">
        <v>300</v>
      </c>
      <c r="I55" s="25">
        <v>7800</v>
      </c>
      <c r="J55" s="25">
        <v>-500</v>
      </c>
      <c r="K55" s="170">
        <f t="shared" si="8"/>
        <v>7600</v>
      </c>
      <c r="L55" s="171">
        <v>34</v>
      </c>
      <c r="M55" s="153"/>
      <c r="N55" s="149">
        <f t="shared" si="6"/>
        <v>5104</v>
      </c>
      <c r="O55" s="67">
        <f t="shared" si="2"/>
        <v>2600508.257142859</v>
      </c>
      <c r="P55" s="7">
        <f t="shared" si="4"/>
        <v>127424904.6000001</v>
      </c>
      <c r="Q55" s="164">
        <f>Q54+N55+1</f>
        <v>2781901.45</v>
      </c>
      <c r="R55" s="29">
        <f t="shared" si="3"/>
        <v>1948.3819590278654</v>
      </c>
      <c r="S55" s="5">
        <f>SUM($Q$7:$Q55)/T55+10</f>
        <v>2797019.2051020423</v>
      </c>
      <c r="T55" s="18">
        <v>49</v>
      </c>
      <c r="U55" s="138"/>
      <c r="V55" s="137"/>
      <c r="W55" s="105">
        <v>-1674581</v>
      </c>
      <c r="X55" s="167"/>
      <c r="Y55" s="156">
        <f>Y54-K55-L55</f>
        <v>-1674581</v>
      </c>
      <c r="Z55" s="217"/>
    </row>
    <row r="58" spans="2:31" ht="12.75" thickBot="1"/>
    <row r="59" spans="2:31" ht="13.5" thickTop="1" thickBot="1">
      <c r="D59" s="141" t="s">
        <v>58</v>
      </c>
      <c r="E59" s="20"/>
      <c r="F59" s="21"/>
      <c r="G59" s="22"/>
    </row>
    <row r="60" spans="2:31">
      <c r="D60" s="27" t="s">
        <v>59</v>
      </c>
      <c r="E60" s="139"/>
      <c r="F60" s="142"/>
      <c r="G60" s="90">
        <f>'Aug 2020 '!Q62</f>
        <v>2610917.4500000002</v>
      </c>
    </row>
    <row r="61" spans="2:31">
      <c r="D61" s="138" t="s">
        <v>4</v>
      </c>
      <c r="E61" s="139"/>
      <c r="F61" s="143"/>
      <c r="G61" s="91">
        <f>'Aug 2020 '!E62</f>
        <v>0</v>
      </c>
    </row>
    <row r="62" spans="2:31">
      <c r="D62" s="138" t="s">
        <v>60</v>
      </c>
      <c r="E62" s="144"/>
      <c r="F62" s="143"/>
      <c r="G62" s="91">
        <f>'Aug 2020 '!F62</f>
        <v>-490672</v>
      </c>
    </row>
    <row r="63" spans="2:31" ht="12.75" thickBot="1">
      <c r="D63" s="140" t="s">
        <v>46</v>
      </c>
      <c r="E63" s="145"/>
      <c r="F63" s="146"/>
      <c r="G63" s="158">
        <f>'Aug 2020 '!W62</f>
        <v>-1504892</v>
      </c>
    </row>
    <row r="64" spans="2:31" ht="12.75" thickTop="1"/>
    <row r="65507" spans="23:23">
      <c r="W65507" s="105"/>
    </row>
    <row r="65514" spans="23:23">
      <c r="W65514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A5FE-E3BC-4D76-9E5D-AB9A96B13EA8}">
  <sheetPr codeName="Sheet20">
    <pageSetUpPr fitToPage="1"/>
  </sheetPr>
  <dimension ref="B1:IU65507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144013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44139</v>
      </c>
      <c r="C7" s="196" t="str">
        <f t="shared" ref="C7:C48" si="0">IF(OR(WEEKDAY(B7)=1,WEEKDAY(B7)=7),"F","")</f>
        <v/>
      </c>
      <c r="D7" s="197">
        <f>-1036+925</f>
        <v>-111</v>
      </c>
      <c r="E7" s="197">
        <v>0</v>
      </c>
      <c r="F7" s="198">
        <v>-432459</v>
      </c>
      <c r="G7" s="199">
        <f>D7+E7+F7-G54-G55</f>
        <v>214214</v>
      </c>
      <c r="H7" s="132">
        <v>300</v>
      </c>
      <c r="I7" s="63">
        <v>8300</v>
      </c>
      <c r="J7" s="63">
        <v>-500</v>
      </c>
      <c r="K7" s="168">
        <f t="shared" ref="K7:K9" si="1">+H7+I7+J7</f>
        <v>8100</v>
      </c>
      <c r="L7" s="169">
        <v>48</v>
      </c>
      <c r="M7" s="203"/>
      <c r="N7" s="204">
        <f>L7+K7+G7+M7</f>
        <v>222362</v>
      </c>
      <c r="O7" s="205">
        <f t="shared" ref="O7:O48" si="2">P7/T7</f>
        <v>2860250.45</v>
      </c>
      <c r="P7" s="206">
        <f>(+$Q7-$Q$3)</f>
        <v>2860250.45</v>
      </c>
      <c r="Q7" s="207">
        <f>G53+N7</f>
        <v>3004263.45</v>
      </c>
      <c r="R7" s="208">
        <f t="shared" ref="R7:R48" si="3">$S7/$Q$3*100</f>
        <v>2086.1057335101696</v>
      </c>
      <c r="S7" s="209">
        <f>$Q7</f>
        <v>3004263.45</v>
      </c>
      <c r="T7" s="210">
        <v>1</v>
      </c>
      <c r="U7" s="211">
        <f>B7</f>
        <v>44139</v>
      </c>
      <c r="V7" s="212" t="s">
        <v>357</v>
      </c>
      <c r="W7" s="213">
        <v>-1682729</v>
      </c>
      <c r="X7" s="214"/>
      <c r="Y7" s="215">
        <f>-L7-K7+'Oct 2020'!Y55</f>
        <v>-1682729</v>
      </c>
      <c r="Z7" s="216">
        <f>AVERAGE(Y7:Y13)</f>
        <v>-1699280.7142857143</v>
      </c>
      <c r="AA7" s="92"/>
    </row>
    <row r="8" spans="2:255">
      <c r="B8" s="116">
        <v>44140</v>
      </c>
      <c r="C8" s="14"/>
      <c r="D8" s="128">
        <v>747</v>
      </c>
      <c r="E8" s="128">
        <v>0</v>
      </c>
      <c r="F8" s="162">
        <v>-436777</v>
      </c>
      <c r="G8" s="26">
        <f>D8+E8+F8-E7-F7</f>
        <v>-3571</v>
      </c>
      <c r="H8" s="132">
        <v>300</v>
      </c>
      <c r="I8" s="63">
        <v>10900</v>
      </c>
      <c r="J8" s="63">
        <v>-600</v>
      </c>
      <c r="K8" s="170">
        <f t="shared" si="1"/>
        <v>10600</v>
      </c>
      <c r="L8" s="171">
        <v>-40</v>
      </c>
      <c r="M8" s="153"/>
      <c r="N8" s="149">
        <f>L8+K8+G8+M8</f>
        <v>6989</v>
      </c>
      <c r="O8" s="67">
        <f t="shared" si="2"/>
        <v>1433619.7250000001</v>
      </c>
      <c r="P8" s="163">
        <f>(IF($Q8&lt;0,-$Q$3+P6,($Q8-$Q$3)+P6))</f>
        <v>2867239.45</v>
      </c>
      <c r="Q8" s="164">
        <f>Q7+N8</f>
        <v>3011252.45</v>
      </c>
      <c r="R8" s="29">
        <f t="shared" si="3"/>
        <v>2088.5322505607137</v>
      </c>
      <c r="S8" s="165">
        <f>SUM($Q$7:$Q8)/T8</f>
        <v>3007757.95</v>
      </c>
      <c r="T8" s="166">
        <v>2</v>
      </c>
      <c r="U8" s="138">
        <f>B7+6</f>
        <v>44145</v>
      </c>
      <c r="V8" s="131">
        <v>1809</v>
      </c>
      <c r="W8" s="105">
        <v>-1693289</v>
      </c>
      <c r="X8" s="167"/>
      <c r="Y8" s="156">
        <f>Y7-K8-L8</f>
        <v>-1693289</v>
      </c>
      <c r="Z8" s="217"/>
      <c r="AA8" s="92"/>
    </row>
    <row r="9" spans="2:255">
      <c r="B9" s="116">
        <v>44141</v>
      </c>
      <c r="C9" s="14" t="str">
        <f t="shared" si="0"/>
        <v/>
      </c>
      <c r="D9" s="87"/>
      <c r="E9" s="87">
        <v>4</v>
      </c>
      <c r="F9" s="23">
        <v>-441049</v>
      </c>
      <c r="G9" s="26">
        <f>D9+E9+F9-E8-F8</f>
        <v>-4268</v>
      </c>
      <c r="H9" s="132">
        <v>300</v>
      </c>
      <c r="I9" s="63">
        <v>8600</v>
      </c>
      <c r="J9" s="63">
        <v>-600</v>
      </c>
      <c r="K9" s="170">
        <f t="shared" si="1"/>
        <v>8300</v>
      </c>
      <c r="L9" s="171">
        <v>-37</v>
      </c>
      <c r="M9" s="153"/>
      <c r="N9" s="149">
        <f>L9+K9+G9+M9</f>
        <v>3995</v>
      </c>
      <c r="O9" s="67">
        <f t="shared" si="2"/>
        <v>1910495.6333333335</v>
      </c>
      <c r="P9" s="7">
        <f>(IF($Q9&lt;0,-$Q$3+P7,($Q9-$Q$3)+P7))</f>
        <v>5731486.9000000004</v>
      </c>
      <c r="Q9" s="164">
        <f>Q8+N9+2</f>
        <v>3015249.45</v>
      </c>
      <c r="R9" s="29">
        <f t="shared" si="3"/>
        <v>2090.2669319204983</v>
      </c>
      <c r="S9" s="5">
        <f>SUM($Q$7:$Q9)/T9+1</f>
        <v>3010256.1166666672</v>
      </c>
      <c r="T9" s="17">
        <v>3</v>
      </c>
      <c r="U9" s="4"/>
      <c r="V9" s="131"/>
      <c r="W9" s="105">
        <v>-1701554</v>
      </c>
      <c r="X9" s="167"/>
      <c r="Y9" s="156">
        <f>Y8-K9-L9-2</f>
        <v>-1701554</v>
      </c>
      <c r="Z9" s="217"/>
      <c r="AA9" s="92"/>
    </row>
    <row r="10" spans="2:255">
      <c r="B10" s="116">
        <v>44142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2150680.8375000004</v>
      </c>
      <c r="P10" s="7">
        <f t="shared" ref="P10:P48" si="4">(IF($Q10&lt;0,-$Q$3+P9,($Q10-$Q$3)+P9))</f>
        <v>8602723.3500000015</v>
      </c>
      <c r="Q10" s="164">
        <f t="shared" ref="Q10:Q25" si="5">Q9+N10</f>
        <v>3015249.45</v>
      </c>
      <c r="R10" s="29">
        <f t="shared" si="3"/>
        <v>2091.1325366459973</v>
      </c>
      <c r="S10" s="5">
        <f>SUM($Q$7:$Q10)/T10-1</f>
        <v>3011502.7</v>
      </c>
      <c r="T10" s="17">
        <v>4</v>
      </c>
      <c r="U10" s="27"/>
      <c r="V10" s="133"/>
      <c r="W10" s="105">
        <v>-1701554</v>
      </c>
      <c r="X10" s="167"/>
      <c r="Y10" s="156">
        <f>Y9-K10-L10</f>
        <v>-1701554</v>
      </c>
      <c r="Z10" s="217"/>
      <c r="AA10" s="92"/>
    </row>
    <row r="11" spans="2:255">
      <c r="B11" s="116">
        <v>44143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2294791.96</v>
      </c>
      <c r="P11" s="7">
        <f t="shared" si="4"/>
        <v>11473959.800000001</v>
      </c>
      <c r="Q11" s="164">
        <f t="shared" si="5"/>
        <v>3015249.45</v>
      </c>
      <c r="R11" s="29">
        <f t="shared" si="3"/>
        <v>2091.6527327394056</v>
      </c>
      <c r="S11" s="5">
        <f>SUM($Q$7:$Q11)/T11-1</f>
        <v>3012251.85</v>
      </c>
      <c r="T11" s="17">
        <v>5</v>
      </c>
      <c r="U11" s="27"/>
      <c r="V11" s="134"/>
      <c r="W11" s="105">
        <v>-1701554</v>
      </c>
      <c r="X11" s="167"/>
      <c r="Y11" s="156">
        <f t="shared" ref="Y11:Y39" si="7">Y10-K11-L11</f>
        <v>-1701554</v>
      </c>
      <c r="Z11" s="217"/>
      <c r="AA11" s="92"/>
    </row>
    <row r="12" spans="2:255">
      <c r="B12" s="116">
        <v>44144</v>
      </c>
      <c r="C12" s="14" t="str">
        <f t="shared" si="0"/>
        <v/>
      </c>
      <c r="D12" s="87"/>
      <c r="E12" s="161">
        <v>1</v>
      </c>
      <c r="F12" s="23">
        <v>-447391</v>
      </c>
      <c r="G12" s="26">
        <f>D12+E12+F12-E9-F9</f>
        <v>-6345</v>
      </c>
      <c r="H12" s="132">
        <v>300</v>
      </c>
      <c r="I12" s="63">
        <v>2700</v>
      </c>
      <c r="J12" s="63">
        <v>-200</v>
      </c>
      <c r="K12" s="170">
        <f t="shared" ref="K12:K48" si="8">+H12+I12+J12</f>
        <v>2800</v>
      </c>
      <c r="L12" s="171">
        <v>28</v>
      </c>
      <c r="M12" s="153"/>
      <c r="N12" s="149">
        <f t="shared" si="6"/>
        <v>-3517</v>
      </c>
      <c r="O12" s="67">
        <f t="shared" si="2"/>
        <v>2390279.7083333335</v>
      </c>
      <c r="P12" s="7">
        <f t="shared" si="4"/>
        <v>14341678.25</v>
      </c>
      <c r="Q12" s="164">
        <f>Q11+N12-1</f>
        <v>3011731.45</v>
      </c>
      <c r="R12" s="29">
        <f t="shared" si="3"/>
        <v>2091.5979460187623</v>
      </c>
      <c r="S12" s="5">
        <f>SUM($Q$7:$Q12)/T12+7</f>
        <v>3012172.9499999997</v>
      </c>
      <c r="T12" s="17">
        <v>6</v>
      </c>
      <c r="U12" s="138">
        <f>B12</f>
        <v>44144</v>
      </c>
      <c r="V12" s="131" t="s">
        <v>359</v>
      </c>
      <c r="W12" s="105">
        <v>-1704381</v>
      </c>
      <c r="X12" s="167">
        <f>AVERAGE(W12:W20)</f>
        <v>-1708352.5555555555</v>
      </c>
      <c r="Y12" s="156">
        <f>Y11-K12-L12+1</f>
        <v>-1704381</v>
      </c>
      <c r="Z12" s="217">
        <f>AVERAGE(Y12:Y20)</f>
        <v>-1706463.6666666667</v>
      </c>
      <c r="AA12" s="92"/>
    </row>
    <row r="13" spans="2:255">
      <c r="B13" s="116">
        <v>44145</v>
      </c>
      <c r="C13" s="14"/>
      <c r="D13" s="87"/>
      <c r="E13" s="87">
        <v>1</v>
      </c>
      <c r="F13" s="23">
        <v>-447894</v>
      </c>
      <c r="G13" s="26">
        <f>D13+E13+F13-E12-F12</f>
        <v>-503</v>
      </c>
      <c r="H13" s="132">
        <v>300</v>
      </c>
      <c r="I13" s="63">
        <v>5400</v>
      </c>
      <c r="J13" s="63">
        <v>-200</v>
      </c>
      <c r="K13" s="170">
        <f t="shared" si="8"/>
        <v>5500</v>
      </c>
      <c r="L13" s="171">
        <v>22</v>
      </c>
      <c r="M13" s="153"/>
      <c r="N13" s="149">
        <f t="shared" si="6"/>
        <v>5019</v>
      </c>
      <c r="O13" s="67">
        <f t="shared" si="2"/>
        <v>2459202.2428571428</v>
      </c>
      <c r="P13" s="7">
        <f>(IF($Q13&lt;0,-$Q$3+P12,($Q13-$Q$3)+P12))</f>
        <v>17214415.699999999</v>
      </c>
      <c r="Q13" s="164">
        <f>Q12+N13</f>
        <v>3016750.45</v>
      </c>
      <c r="R13" s="29">
        <f t="shared" si="3"/>
        <v>2092.0520220892754</v>
      </c>
      <c r="S13" s="5">
        <f>SUM($Q$7:$Q13)/T13+6</f>
        <v>3012826.8785714284</v>
      </c>
      <c r="T13" s="17">
        <v>7</v>
      </c>
      <c r="U13" s="138">
        <f>B14+6</f>
        <v>44152</v>
      </c>
      <c r="V13" s="249">
        <v>1818.9</v>
      </c>
      <c r="W13" s="105">
        <v>-1709904</v>
      </c>
      <c r="X13" s="167"/>
      <c r="Y13" s="156">
        <f>Y12-K13-L13-1</f>
        <v>-1709904</v>
      </c>
      <c r="Z13" s="217"/>
      <c r="AA13" s="92"/>
      <c r="AB13" s="92"/>
    </row>
    <row r="14" spans="2:255">
      <c r="B14" s="116">
        <v>44146</v>
      </c>
      <c r="C14" s="14"/>
      <c r="D14" s="87">
        <f>-925+583</f>
        <v>-342</v>
      </c>
      <c r="E14" s="87">
        <v>0</v>
      </c>
      <c r="F14" s="23">
        <v>-447680</v>
      </c>
      <c r="G14" s="26">
        <f>D14+E14+F14-E13-F13</f>
        <v>-129</v>
      </c>
      <c r="H14" s="132">
        <v>300</v>
      </c>
      <c r="I14" s="63">
        <v>7300</v>
      </c>
      <c r="J14" s="63">
        <v>-200</v>
      </c>
      <c r="K14" s="170">
        <f t="shared" si="8"/>
        <v>7400</v>
      </c>
      <c r="L14" s="171">
        <v>50</v>
      </c>
      <c r="M14" s="154"/>
      <c r="N14" s="149">
        <f>L14+K14+G14+M14</f>
        <v>7321</v>
      </c>
      <c r="O14" s="67">
        <f t="shared" si="2"/>
        <v>2511809.0187499998</v>
      </c>
      <c r="P14" s="7">
        <f t="shared" si="4"/>
        <v>20094472.149999999</v>
      </c>
      <c r="Q14" s="164">
        <f>Q13+N14-2</f>
        <v>3024069.45</v>
      </c>
      <c r="R14" s="29">
        <f t="shared" si="3"/>
        <v>2093.027678056842</v>
      </c>
      <c r="S14" s="5">
        <f>SUM($Q$7:$Q14)/T14+5</f>
        <v>3014231.9499999997</v>
      </c>
      <c r="T14" s="17">
        <v>8</v>
      </c>
      <c r="U14" s="4"/>
      <c r="V14" s="4"/>
      <c r="W14" s="105">
        <v>-1717352</v>
      </c>
      <c r="X14" s="167"/>
      <c r="Y14" s="156">
        <f>Y13-K14-L14+2</f>
        <v>-1717352</v>
      </c>
      <c r="Z14" s="217"/>
      <c r="AA14" s="92"/>
    </row>
    <row r="15" spans="2:255">
      <c r="B15" s="116">
        <v>44147</v>
      </c>
      <c r="C15" s="14" t="str">
        <f t="shared" si="0"/>
        <v/>
      </c>
      <c r="D15" s="87"/>
      <c r="E15" s="87">
        <v>0</v>
      </c>
      <c r="F15" s="23">
        <v>-446791</v>
      </c>
      <c r="G15" s="26">
        <f>D15+E15+F15-E14-F14</f>
        <v>889</v>
      </c>
      <c r="H15" s="132">
        <v>300</v>
      </c>
      <c r="I15" s="63">
        <v>-600</v>
      </c>
      <c r="J15" s="63">
        <v>-200</v>
      </c>
      <c r="K15" s="170">
        <f t="shared" si="8"/>
        <v>-500</v>
      </c>
      <c r="L15" s="172">
        <v>21</v>
      </c>
      <c r="M15" s="153"/>
      <c r="N15" s="149">
        <f>L15+K15+G15+M15</f>
        <v>410</v>
      </c>
      <c r="O15" s="67">
        <f t="shared" si="2"/>
        <v>2552771.0666666664</v>
      </c>
      <c r="P15" s="7">
        <f t="shared" si="4"/>
        <v>22974939.599999998</v>
      </c>
      <c r="Q15" s="164">
        <f>Q14+N15+1</f>
        <v>3024480.45</v>
      </c>
      <c r="R15" s="29">
        <f t="shared" si="3"/>
        <v>2093.8187717621167</v>
      </c>
      <c r="S15" s="5">
        <f>SUM($Q$7:$Q15)/T15+5</f>
        <v>3015371.2277777772</v>
      </c>
      <c r="T15" s="17">
        <v>9</v>
      </c>
      <c r="U15" s="4"/>
      <c r="V15" s="4"/>
      <c r="W15" s="105">
        <v>-1716874</v>
      </c>
      <c r="X15" s="167"/>
      <c r="Y15" s="156">
        <f>Y14-K15-L15-1</f>
        <v>-1716874</v>
      </c>
      <c r="Z15" s="217"/>
      <c r="AA15" s="92"/>
      <c r="AB15" s="92"/>
    </row>
    <row r="16" spans="2:255" s="69" customFormat="1">
      <c r="B16" s="116">
        <v>44148</v>
      </c>
      <c r="C16" s="14" t="str">
        <f t="shared" si="0"/>
        <v/>
      </c>
      <c r="D16" s="129"/>
      <c r="E16" s="87">
        <v>0</v>
      </c>
      <c r="F16" s="23">
        <v>-470876</v>
      </c>
      <c r="G16" s="26">
        <f>D16+E16+F16-E15-F15</f>
        <v>-24085</v>
      </c>
      <c r="H16" s="132">
        <v>300</v>
      </c>
      <c r="I16" s="63">
        <v>-1200</v>
      </c>
      <c r="J16" s="63">
        <v>-200</v>
      </c>
      <c r="K16" s="170">
        <f t="shared" si="8"/>
        <v>-1100</v>
      </c>
      <c r="L16" s="172">
        <v>-47</v>
      </c>
      <c r="M16" s="153"/>
      <c r="N16" s="152">
        <f>L16+K16+G16+M16</f>
        <v>-25232</v>
      </c>
      <c r="O16" s="67">
        <f t="shared" si="2"/>
        <v>2583017.6049999995</v>
      </c>
      <c r="P16" s="70">
        <f t="shared" si="4"/>
        <v>25830176.049999997</v>
      </c>
      <c r="Q16" s="164">
        <f>Q15+N16+1</f>
        <v>2999249.45</v>
      </c>
      <c r="R16" s="71">
        <f t="shared" si="3"/>
        <v>2092.6961802059532</v>
      </c>
      <c r="S16" s="72">
        <f>SUM($Q$7:$Q16)/T16</f>
        <v>3013754.55</v>
      </c>
      <c r="T16" s="73">
        <v>10</v>
      </c>
      <c r="U16" s="218"/>
      <c r="V16" s="133"/>
      <c r="W16" s="105">
        <v>-1715728</v>
      </c>
      <c r="X16" s="167"/>
      <c r="Y16" s="156">
        <f>Y15-K16-L16-1</f>
        <v>-1715728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44149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2607764.7727272725</v>
      </c>
      <c r="P17" s="7">
        <f t="shared" si="4"/>
        <v>28685412.499999996</v>
      </c>
      <c r="Q17" s="164">
        <f t="shared" si="5"/>
        <v>2999249.45</v>
      </c>
      <c r="R17" s="29">
        <f t="shared" si="3"/>
        <v>2091.7805368580994</v>
      </c>
      <c r="S17" s="5">
        <f>SUM($Q$7:$Q17)/T17</f>
        <v>3012435.9045454543</v>
      </c>
      <c r="T17" s="18">
        <v>11</v>
      </c>
      <c r="U17" s="27"/>
      <c r="V17" s="136"/>
      <c r="W17" s="105">
        <v>-1715728</v>
      </c>
      <c r="X17" s="167"/>
      <c r="Y17" s="156">
        <f t="shared" si="7"/>
        <v>-1715728</v>
      </c>
      <c r="Z17" s="217"/>
      <c r="AA17" s="92"/>
      <c r="AC17" s="92"/>
    </row>
    <row r="18" spans="2:31">
      <c r="B18" s="116">
        <v>44150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2628387.4124999996</v>
      </c>
      <c r="P18" s="7">
        <f t="shared" si="4"/>
        <v>31540648.949999996</v>
      </c>
      <c r="Q18" s="164">
        <f t="shared" si="5"/>
        <v>2999249.45</v>
      </c>
      <c r="R18" s="29">
        <f t="shared" si="3"/>
        <v>2091.0202782619162</v>
      </c>
      <c r="S18" s="5">
        <f>SUM($Q$7:$Q18)/T18+4</f>
        <v>3011341.0333333332</v>
      </c>
      <c r="T18" s="18">
        <v>12</v>
      </c>
      <c r="U18" s="27"/>
      <c r="V18" s="136"/>
      <c r="W18" s="105">
        <v>-1715728</v>
      </c>
      <c r="X18" s="167"/>
      <c r="Y18" s="156">
        <f t="shared" si="7"/>
        <v>-1715728</v>
      </c>
      <c r="Z18" s="217"/>
      <c r="AA18" s="92"/>
    </row>
    <row r="19" spans="2:31">
      <c r="B19" s="116">
        <v>44151</v>
      </c>
      <c r="C19" s="14" t="str">
        <f t="shared" si="0"/>
        <v/>
      </c>
      <c r="D19" s="87"/>
      <c r="E19" s="87">
        <v>127</v>
      </c>
      <c r="F19" s="23">
        <v>-483654</v>
      </c>
      <c r="G19" s="26">
        <f>D19+E19+F19-E16-F16</f>
        <v>-12651</v>
      </c>
      <c r="H19" s="132">
        <v>2800</v>
      </c>
      <c r="I19" s="63">
        <v>-20600</v>
      </c>
      <c r="J19" s="63">
        <v>-400</v>
      </c>
      <c r="K19" s="170">
        <f t="shared" si="8"/>
        <v>-18200</v>
      </c>
      <c r="L19" s="171">
        <v>-22</v>
      </c>
      <c r="M19" s="153"/>
      <c r="N19" s="149">
        <f t="shared" si="6"/>
        <v>-30873</v>
      </c>
      <c r="O19" s="67">
        <f t="shared" si="2"/>
        <v>2643462.5692307693</v>
      </c>
      <c r="P19" s="7">
        <f t="shared" si="4"/>
        <v>34365013.399999999</v>
      </c>
      <c r="Q19" s="164">
        <f>Q18+N19+1</f>
        <v>2968377.45</v>
      </c>
      <c r="R19" s="29">
        <f t="shared" si="3"/>
        <v>2088.7256358800942</v>
      </c>
      <c r="S19" s="5">
        <f>SUM($Q$7:$Q19)/T19+4</f>
        <v>3008036.45</v>
      </c>
      <c r="T19" s="18">
        <v>13</v>
      </c>
      <c r="U19" s="138">
        <f>B19</f>
        <v>44151</v>
      </c>
      <c r="V19" s="131" t="s">
        <v>360</v>
      </c>
      <c r="W19" s="105">
        <v>-1697507</v>
      </c>
      <c r="X19" s="167">
        <f>AVERAGE(W19:W27)</f>
        <v>-1677292</v>
      </c>
      <c r="Y19" s="156">
        <f>Y18-K19-L19-1</f>
        <v>-1697507</v>
      </c>
      <c r="Z19" s="217">
        <f>AVERAGE(Y19:Y27)</f>
        <v>-1677403.111111111</v>
      </c>
      <c r="AA19" s="92"/>
    </row>
    <row r="20" spans="2:31">
      <c r="B20" s="116">
        <v>44152</v>
      </c>
      <c r="C20" s="14"/>
      <c r="D20" s="87"/>
      <c r="E20" s="87">
        <v>0</v>
      </c>
      <c r="F20" s="23">
        <v>-531916</v>
      </c>
      <c r="G20" s="26">
        <f>D20+E20+F20-E19-F19</f>
        <v>-48389</v>
      </c>
      <c r="H20" s="132">
        <v>-16700</v>
      </c>
      <c r="I20" s="63">
        <v>-15400</v>
      </c>
      <c r="J20" s="63">
        <v>-400</v>
      </c>
      <c r="K20" s="170">
        <f t="shared" si="8"/>
        <v>-32500</v>
      </c>
      <c r="L20" s="171">
        <v>-35</v>
      </c>
      <c r="M20" s="153"/>
      <c r="N20" s="149">
        <f t="shared" si="6"/>
        <v>-80924</v>
      </c>
      <c r="O20" s="67">
        <f t="shared" si="2"/>
        <v>2650603.8464285717</v>
      </c>
      <c r="P20" s="7">
        <f t="shared" si="4"/>
        <v>37108453.850000001</v>
      </c>
      <c r="Q20" s="164">
        <f>Q19+N20</f>
        <v>2887453.45</v>
      </c>
      <c r="R20" s="29">
        <f t="shared" si="3"/>
        <v>2082.7443802196431</v>
      </c>
      <c r="S20" s="5">
        <f>SUM($Q$7:$Q20)/T20+3</f>
        <v>2999422.6642857147</v>
      </c>
      <c r="T20" s="18">
        <v>14</v>
      </c>
      <c r="U20" s="138">
        <f>B19+8</f>
        <v>44159</v>
      </c>
      <c r="V20" s="131">
        <v>1892.3</v>
      </c>
      <c r="W20" s="105">
        <v>-1681971</v>
      </c>
      <c r="X20" s="167"/>
      <c r="Y20" s="156">
        <f>Y19-K20-L20+1</f>
        <v>-1664971</v>
      </c>
      <c r="Z20" s="217"/>
      <c r="AA20" s="92"/>
      <c r="AB20" s="92"/>
    </row>
    <row r="21" spans="2:31">
      <c r="B21" s="116">
        <v>44153</v>
      </c>
      <c r="C21" s="14" t="str">
        <f t="shared" si="0"/>
        <v/>
      </c>
      <c r="D21" s="87">
        <f>-583+470</f>
        <v>-113</v>
      </c>
      <c r="E21" s="87">
        <v>435</v>
      </c>
      <c r="F21" s="23">
        <v>-542686</v>
      </c>
      <c r="G21" s="26">
        <f>D21+E21+F21-E20-F20</f>
        <v>-10448</v>
      </c>
      <c r="H21" s="132">
        <v>-16700</v>
      </c>
      <c r="I21" s="63">
        <v>23700</v>
      </c>
      <c r="J21" s="63">
        <v>-400</v>
      </c>
      <c r="K21" s="170">
        <f t="shared" si="8"/>
        <v>6600</v>
      </c>
      <c r="L21" s="171">
        <v>-39</v>
      </c>
      <c r="M21" s="153"/>
      <c r="N21" s="149">
        <f>L21+K21+G21+M21</f>
        <v>-3887</v>
      </c>
      <c r="O21" s="67">
        <f t="shared" si="2"/>
        <v>2656533.8866666672</v>
      </c>
      <c r="P21" s="7">
        <f t="shared" si="4"/>
        <v>39848008.300000004</v>
      </c>
      <c r="Q21" s="164">
        <f>Q20+N21+1</f>
        <v>2883567.45</v>
      </c>
      <c r="R21" s="29">
        <f t="shared" si="3"/>
        <v>2077.3813359442092</v>
      </c>
      <c r="S21" s="5">
        <f>SUM($Q$7:$Q21)/T21+3</f>
        <v>2991699.183333334</v>
      </c>
      <c r="T21" s="18">
        <v>15</v>
      </c>
      <c r="U21" s="4"/>
      <c r="V21" s="131"/>
      <c r="W21" s="105">
        <v>-1671533</v>
      </c>
      <c r="X21" s="167"/>
      <c r="Y21" s="156">
        <f>Y20-K21-L21-1</f>
        <v>-1671533</v>
      </c>
      <c r="Z21" s="217"/>
      <c r="AA21" s="92"/>
    </row>
    <row r="22" spans="2:31">
      <c r="B22" s="116">
        <v>44154</v>
      </c>
      <c r="C22" s="14" t="str">
        <f t="shared" si="0"/>
        <v/>
      </c>
      <c r="D22" s="87"/>
      <c r="E22" s="87">
        <v>19</v>
      </c>
      <c r="F22" s="23">
        <v>-539054</v>
      </c>
      <c r="G22" s="26">
        <f>D22+E22+F22-E21-F21</f>
        <v>3216</v>
      </c>
      <c r="H22" s="132">
        <v>6300</v>
      </c>
      <c r="I22" s="63">
        <v>7400</v>
      </c>
      <c r="J22" s="63">
        <v>-400</v>
      </c>
      <c r="K22" s="170">
        <f t="shared" si="8"/>
        <v>13300</v>
      </c>
      <c r="L22" s="171">
        <v>30</v>
      </c>
      <c r="M22" s="153"/>
      <c r="N22" s="149">
        <f>L22+K22+G22+M22</f>
        <v>16546</v>
      </c>
      <c r="O22" s="67">
        <f t="shared" si="2"/>
        <v>2662756.6718750005</v>
      </c>
      <c r="P22" s="7">
        <f t="shared" si="4"/>
        <v>42604106.750000007</v>
      </c>
      <c r="Q22" s="164">
        <f>Q21+N22-2</f>
        <v>2900111.45</v>
      </c>
      <c r="R22" s="29">
        <f t="shared" si="3"/>
        <v>2073.4066629401518</v>
      </c>
      <c r="S22" s="5">
        <f>SUM($Q$7:$Q22)/T22+3</f>
        <v>2985975.1375000007</v>
      </c>
      <c r="T22" s="18">
        <v>16</v>
      </c>
      <c r="U22" s="4"/>
      <c r="V22" s="131"/>
      <c r="W22" s="105">
        <v>-1666862</v>
      </c>
      <c r="X22" s="167"/>
      <c r="Y22" s="156">
        <f>Y21-K22-L22+1</f>
        <v>-1684862</v>
      </c>
      <c r="Z22" s="217"/>
      <c r="AA22" s="92"/>
    </row>
    <row r="23" spans="2:31">
      <c r="B23" s="116">
        <v>44155</v>
      </c>
      <c r="C23" s="14" t="str">
        <f t="shared" si="0"/>
        <v/>
      </c>
      <c r="D23" s="87"/>
      <c r="E23" s="87">
        <v>0</v>
      </c>
      <c r="F23" s="23">
        <v>-545329</v>
      </c>
      <c r="G23" s="26">
        <f t="shared" ref="G23" si="9">D23+E23+F23-E22-F22</f>
        <v>-6294</v>
      </c>
      <c r="H23" s="132">
        <v>-200</v>
      </c>
      <c r="I23" s="63">
        <v>-8800</v>
      </c>
      <c r="J23" s="63">
        <v>-400</v>
      </c>
      <c r="K23" s="170">
        <f>+H23+I23+J23</f>
        <v>-9400</v>
      </c>
      <c r="L23" s="171">
        <v>-30</v>
      </c>
      <c r="M23" s="153"/>
      <c r="N23" s="149">
        <f>L23+K23+G23+M23</f>
        <v>-15724</v>
      </c>
      <c r="O23" s="67">
        <f t="shared" si="2"/>
        <v>2667322.5411764714</v>
      </c>
      <c r="P23" s="7">
        <f t="shared" si="4"/>
        <v>45344483.20000001</v>
      </c>
      <c r="Q23" s="164">
        <f>Q22+N23+1+1</f>
        <v>2884389.45</v>
      </c>
      <c r="R23" s="29">
        <f t="shared" si="3"/>
        <v>2069.2553347920798</v>
      </c>
      <c r="S23" s="5">
        <f>SUM($Q$7:$Q23)/T23</f>
        <v>2979996.6852941182</v>
      </c>
      <c r="T23" s="18">
        <v>17</v>
      </c>
      <c r="U23" s="27"/>
      <c r="V23" s="135"/>
      <c r="W23" s="105">
        <v>-1675433</v>
      </c>
      <c r="X23" s="167"/>
      <c r="Y23" s="156">
        <f>Y22-K23-L23-1</f>
        <v>-1675433</v>
      </c>
      <c r="Z23" s="217"/>
      <c r="AA23" s="92"/>
    </row>
    <row r="24" spans="2:31">
      <c r="B24" s="116">
        <v>44156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2671381.0916666673</v>
      </c>
      <c r="P24" s="7">
        <f t="shared" si="4"/>
        <v>48084859.650000013</v>
      </c>
      <c r="Q24" s="164">
        <f t="shared" si="5"/>
        <v>2884389.45</v>
      </c>
      <c r="R24" s="29">
        <f t="shared" si="3"/>
        <v>2065.5671170118135</v>
      </c>
      <c r="S24" s="5">
        <f>SUM($Q$7:$Q24)/T24</f>
        <v>2974685.1722222231</v>
      </c>
      <c r="T24" s="18">
        <v>18</v>
      </c>
      <c r="U24" s="4"/>
      <c r="V24" s="135"/>
      <c r="W24" s="105">
        <v>-1675433</v>
      </c>
      <c r="X24" s="167"/>
      <c r="Y24" s="156">
        <f t="shared" si="7"/>
        <v>-1675433</v>
      </c>
      <c r="Z24" s="217"/>
      <c r="AA24" s="92"/>
      <c r="AD24" s="1"/>
      <c r="AE24" s="1"/>
    </row>
    <row r="25" spans="2:31">
      <c r="B25" s="116">
        <v>44157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2675012.4263157905</v>
      </c>
      <c r="P25" s="7">
        <f t="shared" si="4"/>
        <v>50825236.100000016</v>
      </c>
      <c r="Q25" s="164">
        <f t="shared" si="5"/>
        <v>2884389.45</v>
      </c>
      <c r="R25" s="29">
        <f t="shared" si="3"/>
        <v>2062.2664383003444</v>
      </c>
      <c r="S25" s="5">
        <f>SUM($Q$7:$Q25)/T25-1</f>
        <v>2969931.7657894748</v>
      </c>
      <c r="T25" s="18">
        <v>19</v>
      </c>
      <c r="U25" s="4"/>
      <c r="V25" s="131"/>
      <c r="W25" s="105">
        <v>-1675433</v>
      </c>
      <c r="X25" s="167"/>
      <c r="Y25" s="156">
        <f t="shared" si="7"/>
        <v>-1675433</v>
      </c>
      <c r="Z25" s="217"/>
      <c r="AA25" s="92"/>
      <c r="AD25" s="1"/>
      <c r="AE25" s="1"/>
    </row>
    <row r="26" spans="2:31">
      <c r="B26" s="116">
        <v>44158</v>
      </c>
      <c r="C26" s="14" t="str">
        <f t="shared" si="0"/>
        <v/>
      </c>
      <c r="D26" s="87"/>
      <c r="E26" s="87">
        <v>68</v>
      </c>
      <c r="F26" s="23">
        <v>-537333</v>
      </c>
      <c r="G26" s="26">
        <f>D26+E26+F26-E23-F23</f>
        <v>8064</v>
      </c>
      <c r="H26" s="132">
        <v>-400</v>
      </c>
      <c r="I26" s="63">
        <v>500</v>
      </c>
      <c r="J26" s="63">
        <v>-700</v>
      </c>
      <c r="K26" s="170">
        <f>+H26+I26+J26</f>
        <v>-600</v>
      </c>
      <c r="L26" s="171">
        <v>12</v>
      </c>
      <c r="M26" s="153"/>
      <c r="N26" s="149">
        <f t="shared" si="6"/>
        <v>7476</v>
      </c>
      <c r="O26" s="67">
        <f t="shared" si="2"/>
        <v>2678654.3275000011</v>
      </c>
      <c r="P26" s="7">
        <f t="shared" si="4"/>
        <v>53573086.550000019</v>
      </c>
      <c r="Q26" s="164">
        <f>Q25+N26-2</f>
        <v>2891863.45</v>
      </c>
      <c r="R26" s="29">
        <f t="shared" si="3"/>
        <v>2059.55594286627</v>
      </c>
      <c r="S26" s="5">
        <f>SUM($Q$7:$Q26)/T26-1</f>
        <v>2966028.3000000012</v>
      </c>
      <c r="T26" s="18">
        <v>20</v>
      </c>
      <c r="U26" s="138">
        <f>B26</f>
        <v>44158</v>
      </c>
      <c r="V26" s="131" t="s">
        <v>361</v>
      </c>
      <c r="W26" s="105">
        <v>-1674843</v>
      </c>
      <c r="X26" s="167">
        <f>AVERAGE(W26:W34)</f>
        <v>-1708038.5555555555</v>
      </c>
      <c r="Y26" s="156">
        <f>Y25-K26-L26+2</f>
        <v>-1674843</v>
      </c>
      <c r="Z26" s="217">
        <f>AVERAGE(Y26:Y34)</f>
        <v>-1708038.5555555555</v>
      </c>
      <c r="AC26" s="92"/>
      <c r="AD26" s="1"/>
      <c r="AE26" s="1"/>
    </row>
    <row r="27" spans="2:31">
      <c r="B27" s="116">
        <v>44159</v>
      </c>
      <c r="C27" s="14" t="str">
        <f t="shared" si="0"/>
        <v/>
      </c>
      <c r="D27" s="87"/>
      <c r="E27" s="87">
        <v>0</v>
      </c>
      <c r="F27" s="23">
        <v>-538589</v>
      </c>
      <c r="G27" s="26">
        <f>D27+E27+F27-E26-F26</f>
        <v>-1324</v>
      </c>
      <c r="H27" s="132">
        <v>300</v>
      </c>
      <c r="I27" s="63">
        <v>2200</v>
      </c>
      <c r="J27" s="63">
        <v>-700</v>
      </c>
      <c r="K27" s="170">
        <f t="shared" si="8"/>
        <v>1800</v>
      </c>
      <c r="L27" s="171">
        <v>-31</v>
      </c>
      <c r="M27" s="153"/>
      <c r="N27" s="149">
        <f>L27+K27+G27+M27</f>
        <v>445</v>
      </c>
      <c r="O27" s="67">
        <f t="shared" si="2"/>
        <v>2681970.6190476203</v>
      </c>
      <c r="P27" s="7">
        <f t="shared" si="4"/>
        <v>56321383.000000022</v>
      </c>
      <c r="Q27" s="164">
        <f>Q26+N27+1</f>
        <v>2892309.45</v>
      </c>
      <c r="R27" s="29">
        <f t="shared" si="3"/>
        <v>2057.1183372003793</v>
      </c>
      <c r="S27" s="5">
        <f>SUM($Q$7:$Q27)/T27-1</f>
        <v>2962517.8309523822</v>
      </c>
      <c r="T27" s="18">
        <v>21</v>
      </c>
      <c r="U27" s="138">
        <f>B28+6</f>
        <v>44166</v>
      </c>
      <c r="V27" s="159">
        <v>1869.1</v>
      </c>
      <c r="W27" s="105">
        <v>-1676613</v>
      </c>
      <c r="X27" s="167"/>
      <c r="Y27" s="156">
        <f>Y26-K27-L27-1</f>
        <v>-1676613</v>
      </c>
      <c r="Z27" s="217"/>
      <c r="AA27" s="92"/>
      <c r="AD27" s="1"/>
      <c r="AE27" s="1"/>
    </row>
    <row r="28" spans="2:31">
      <c r="B28" s="116">
        <v>44160</v>
      </c>
      <c r="C28" s="14" t="str">
        <f t="shared" si="0"/>
        <v/>
      </c>
      <c r="D28" s="87">
        <f>-470+593</f>
        <v>123</v>
      </c>
      <c r="E28" s="87">
        <v>1</v>
      </c>
      <c r="F28" s="23">
        <v>-557803</v>
      </c>
      <c r="G28" s="26">
        <f>D28+E28+F28-E27-F27</f>
        <v>-19090</v>
      </c>
      <c r="H28" s="132">
        <v>300</v>
      </c>
      <c r="I28" s="63">
        <v>-3900</v>
      </c>
      <c r="J28" s="63">
        <v>-700</v>
      </c>
      <c r="K28" s="170">
        <f t="shared" si="8"/>
        <v>-4300</v>
      </c>
      <c r="L28" s="171">
        <v>32</v>
      </c>
      <c r="M28" s="153"/>
      <c r="N28" s="149">
        <f>L28+K28+G28+M28</f>
        <v>-23358</v>
      </c>
      <c r="O28" s="67">
        <f t="shared" si="2"/>
        <v>2683923.7022727286</v>
      </c>
      <c r="P28" s="7">
        <f t="shared" si="4"/>
        <v>59046321.450000025</v>
      </c>
      <c r="Q28" s="164">
        <f>Q27+N28</f>
        <v>2868951.45</v>
      </c>
      <c r="R28" s="29">
        <f t="shared" si="3"/>
        <v>2054.1650880002635</v>
      </c>
      <c r="S28" s="5">
        <f>SUM($Q$7:$Q28)/T28-1</f>
        <v>2958264.7681818195</v>
      </c>
      <c r="T28" s="18">
        <v>22</v>
      </c>
      <c r="U28" s="4"/>
      <c r="V28" s="131"/>
      <c r="W28" s="105">
        <v>-1672345</v>
      </c>
      <c r="X28" s="167"/>
      <c r="Y28" s="156">
        <f>Y27-K28-L28</f>
        <v>-1672345</v>
      </c>
      <c r="Z28" s="217"/>
      <c r="AA28" s="92"/>
      <c r="AD28" s="1"/>
      <c r="AE28" s="1"/>
    </row>
    <row r="29" spans="2:31">
      <c r="B29" s="116">
        <v>44161</v>
      </c>
      <c r="C29" s="14" t="str">
        <f t="shared" si="0"/>
        <v/>
      </c>
      <c r="D29" s="87">
        <f>-243+293</f>
        <v>50</v>
      </c>
      <c r="E29" s="87">
        <v>0</v>
      </c>
      <c r="F29" s="23">
        <v>-563149</v>
      </c>
      <c r="G29" s="26">
        <f>D29+E29+F29-E28-F28</f>
        <v>-5297</v>
      </c>
      <c r="H29" s="132">
        <v>300</v>
      </c>
      <c r="I29" s="63">
        <v>-900</v>
      </c>
      <c r="J29" s="63">
        <v>-700</v>
      </c>
      <c r="K29" s="170">
        <f t="shared" si="8"/>
        <v>-1300</v>
      </c>
      <c r="L29" s="171">
        <v>7</v>
      </c>
      <c r="M29" s="153"/>
      <c r="N29" s="149">
        <f>L29+K29+G29+M29</f>
        <v>-6590</v>
      </c>
      <c r="O29" s="67">
        <f t="shared" si="2"/>
        <v>2685420.5173913054</v>
      </c>
      <c r="P29" s="7">
        <f t="shared" si="4"/>
        <v>61764671.900000028</v>
      </c>
      <c r="Q29" s="164">
        <f>Q28+N29+2</f>
        <v>2862363.45</v>
      </c>
      <c r="R29" s="29">
        <f t="shared" si="3"/>
        <v>2051.269747990747</v>
      </c>
      <c r="S29" s="5">
        <f>SUM($Q$7:$Q29)/T29-1</f>
        <v>2954095.1021739142</v>
      </c>
      <c r="T29" s="18">
        <v>23</v>
      </c>
      <c r="U29" s="4"/>
      <c r="V29" s="131"/>
      <c r="W29" s="105">
        <v>-1671054</v>
      </c>
      <c r="X29" s="167"/>
      <c r="Y29" s="156">
        <f>Y28-K29-L29-2</f>
        <v>-1671054</v>
      </c>
      <c r="Z29" s="217"/>
      <c r="AA29" s="92"/>
      <c r="AD29" s="1"/>
      <c r="AE29" s="1"/>
    </row>
    <row r="30" spans="2:31">
      <c r="B30" s="116">
        <v>44162</v>
      </c>
      <c r="C30" s="14" t="str">
        <f t="shared" si="0"/>
        <v/>
      </c>
      <c r="D30" s="87"/>
      <c r="E30" s="87">
        <v>0</v>
      </c>
      <c r="F30" s="23">
        <v>-567695</v>
      </c>
      <c r="G30" s="26">
        <f>D30+E30+F30-E29-F29</f>
        <v>-4546</v>
      </c>
      <c r="H30" s="132">
        <v>300</v>
      </c>
      <c r="I30" s="25">
        <v>38700</v>
      </c>
      <c r="J30" s="25">
        <v>-700</v>
      </c>
      <c r="K30" s="170">
        <f t="shared" si="8"/>
        <v>38300</v>
      </c>
      <c r="L30" s="171">
        <v>18</v>
      </c>
      <c r="M30" s="153"/>
      <c r="N30" s="149">
        <f t="shared" si="6"/>
        <v>33772</v>
      </c>
      <c r="O30" s="67">
        <f t="shared" si="2"/>
        <v>2688199.7645833348</v>
      </c>
      <c r="P30" s="7">
        <f t="shared" si="4"/>
        <v>64516794.350000031</v>
      </c>
      <c r="Q30" s="164">
        <f t="shared" ref="Q30:Q40" si="10">Q29+N30</f>
        <v>2896135.45</v>
      </c>
      <c r="R30" s="29">
        <f t="shared" si="3"/>
        <v>2049.5976578503337</v>
      </c>
      <c r="S30" s="5">
        <f>SUM($Q$7:$Q30)/T30+6</f>
        <v>2951687.0750000011</v>
      </c>
      <c r="T30" s="18">
        <v>24</v>
      </c>
      <c r="U30" s="4"/>
      <c r="V30" s="131"/>
      <c r="W30" s="105">
        <v>-1709372</v>
      </c>
      <c r="X30" s="167"/>
      <c r="Y30" s="156">
        <f>Y29-K30-L30</f>
        <v>-1709372</v>
      </c>
      <c r="Z30" s="217"/>
      <c r="AA30" s="92"/>
      <c r="AD30" s="1"/>
      <c r="AE30" s="1"/>
    </row>
    <row r="31" spans="2:31">
      <c r="B31" s="116">
        <v>44163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2690756.6720000012</v>
      </c>
      <c r="P31" s="7">
        <f t="shared" si="4"/>
        <v>67268916.800000027</v>
      </c>
      <c r="Q31" s="164">
        <f t="shared" si="10"/>
        <v>2896135.45</v>
      </c>
      <c r="R31" s="29">
        <f t="shared" si="3"/>
        <v>2048.0520855756085</v>
      </c>
      <c r="S31" s="5">
        <f>SUM($Q$7:$Q31)/T31+2</f>
        <v>2949461.2500000014</v>
      </c>
      <c r="T31" s="18">
        <v>25</v>
      </c>
      <c r="U31" s="4"/>
      <c r="V31" s="137"/>
      <c r="W31" s="105">
        <v>-1709372</v>
      </c>
      <c r="X31" s="167"/>
      <c r="Y31" s="156">
        <f t="shared" si="7"/>
        <v>-1709372</v>
      </c>
      <c r="Z31" s="217"/>
      <c r="AA31" s="92"/>
      <c r="AB31" s="92"/>
      <c r="AD31" s="1"/>
      <c r="AE31" s="1"/>
    </row>
    <row r="32" spans="2:31">
      <c r="B32" s="116">
        <v>44164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2693116.8942307704</v>
      </c>
      <c r="P32" s="7">
        <f t="shared" si="4"/>
        <v>70021039.25000003</v>
      </c>
      <c r="Q32" s="164">
        <f t="shared" si="10"/>
        <v>2896135.45</v>
      </c>
      <c r="R32" s="29">
        <f t="shared" si="3"/>
        <v>2046.6224122929084</v>
      </c>
      <c r="S32" s="5">
        <f>SUM($Q$7:$Q32)/T32-6</f>
        <v>2947402.3346153861</v>
      </c>
      <c r="T32" s="18">
        <v>26</v>
      </c>
      <c r="U32" s="27"/>
      <c r="V32" s="137"/>
      <c r="W32" s="105">
        <v>-1709372</v>
      </c>
      <c r="X32" s="167"/>
      <c r="Y32" s="156">
        <f t="shared" si="7"/>
        <v>-1709372</v>
      </c>
      <c r="Z32" s="217"/>
      <c r="AD32" s="1"/>
      <c r="AE32" s="1"/>
    </row>
    <row r="33" spans="2:31">
      <c r="B33" s="116">
        <v>44165</v>
      </c>
      <c r="C33" s="14" t="str">
        <f t="shared" si="0"/>
        <v/>
      </c>
      <c r="D33" s="87"/>
      <c r="E33" s="87">
        <v>15</v>
      </c>
      <c r="F33" s="23">
        <v>-594088</v>
      </c>
      <c r="G33" s="26">
        <f>D33+E33+F33-E30-F30</f>
        <v>-26378</v>
      </c>
      <c r="H33" s="132">
        <v>300</v>
      </c>
      <c r="I33" s="25">
        <v>45200</v>
      </c>
      <c r="J33" s="25">
        <v>-1500</v>
      </c>
      <c r="K33" s="170">
        <f t="shared" si="8"/>
        <v>44000</v>
      </c>
      <c r="L33" s="171">
        <v>-23</v>
      </c>
      <c r="M33" s="153"/>
      <c r="N33" s="149">
        <f t="shared" si="6"/>
        <v>17599</v>
      </c>
      <c r="O33" s="67">
        <f t="shared" si="2"/>
        <v>2695954.100000001</v>
      </c>
      <c r="P33" s="7">
        <f t="shared" si="4"/>
        <v>72790760.700000033</v>
      </c>
      <c r="Q33" s="164">
        <f t="shared" si="10"/>
        <v>2913734.45</v>
      </c>
      <c r="R33" s="29">
        <f t="shared" si="3"/>
        <v>2045.7598645286919</v>
      </c>
      <c r="S33" s="5">
        <f>SUM($Q$7:$Q33)/T33-1</f>
        <v>2946160.1537037049</v>
      </c>
      <c r="T33" s="18">
        <v>27</v>
      </c>
      <c r="U33" s="138">
        <f>B33</f>
        <v>44165</v>
      </c>
      <c r="V33" s="131" t="s">
        <v>362</v>
      </c>
      <c r="W33" s="105">
        <v>-1753349</v>
      </c>
      <c r="X33" s="167">
        <f>AVERAGE(W33:W41)</f>
        <v>-1794332.4444444445</v>
      </c>
      <c r="Y33" s="156">
        <f>Y32-K33-L33</f>
        <v>-1753349</v>
      </c>
      <c r="Z33" s="217">
        <f>AVERAGE(Y33:Y41)</f>
        <v>-1794332.4444444445</v>
      </c>
      <c r="AD33" s="1"/>
      <c r="AE33" s="1"/>
    </row>
    <row r="34" spans="2:31">
      <c r="B34" s="116">
        <v>44166</v>
      </c>
      <c r="C34" s="14" t="str">
        <f t="shared" si="0"/>
        <v/>
      </c>
      <c r="D34" s="87"/>
      <c r="E34" s="87">
        <v>34</v>
      </c>
      <c r="F34" s="23">
        <v>-592096</v>
      </c>
      <c r="G34" s="26">
        <f>D34+E34+F34-E33-F33</f>
        <v>2011</v>
      </c>
      <c r="H34" s="132">
        <v>13700</v>
      </c>
      <c r="I34" s="25">
        <v>30500</v>
      </c>
      <c r="J34" s="25">
        <v>-1500</v>
      </c>
      <c r="K34" s="170">
        <f t="shared" si="8"/>
        <v>42700</v>
      </c>
      <c r="L34" s="171">
        <v>-22</v>
      </c>
      <c r="M34" s="153"/>
      <c r="N34" s="149">
        <f>L34+K34+G34+M34</f>
        <v>44689</v>
      </c>
      <c r="O34" s="67">
        <f t="shared" si="2"/>
        <v>2700184.6839285726</v>
      </c>
      <c r="P34" s="7">
        <f t="shared" si="4"/>
        <v>75605171.150000036</v>
      </c>
      <c r="Q34" s="164">
        <f t="shared" si="10"/>
        <v>2958423.45</v>
      </c>
      <c r="R34" s="29">
        <f t="shared" si="3"/>
        <v>2046.0646558693622</v>
      </c>
      <c r="S34" s="5">
        <f>SUM($Q$7:$Q34)/T34</f>
        <v>2946599.0928571443</v>
      </c>
      <c r="T34" s="18">
        <v>28</v>
      </c>
      <c r="U34" s="138">
        <f>B33+8</f>
        <v>44173</v>
      </c>
      <c r="V34" s="131">
        <v>1804.6</v>
      </c>
      <c r="W34" s="105">
        <v>-1796027</v>
      </c>
      <c r="X34" s="167"/>
      <c r="Y34" s="156">
        <f>Y33-K34-L34</f>
        <v>-1796027</v>
      </c>
      <c r="Z34" s="217"/>
      <c r="AA34" s="92"/>
      <c r="AD34" s="1"/>
      <c r="AE34" s="1"/>
    </row>
    <row r="35" spans="2:31">
      <c r="B35" s="116">
        <v>44167</v>
      </c>
      <c r="C35" s="14" t="str">
        <f t="shared" si="0"/>
        <v/>
      </c>
      <c r="D35" s="87">
        <f>-593+256</f>
        <v>-337</v>
      </c>
      <c r="E35" s="87">
        <v>45</v>
      </c>
      <c r="F35" s="23">
        <v>-608137</v>
      </c>
      <c r="G35" s="26">
        <f>D35+E35+F35-E34-F34</f>
        <v>-16367</v>
      </c>
      <c r="H35" s="132">
        <v>-11700</v>
      </c>
      <c r="I35" s="25">
        <v>1400</v>
      </c>
      <c r="J35" s="25">
        <v>-1600</v>
      </c>
      <c r="K35" s="170">
        <f t="shared" si="8"/>
        <v>-11900</v>
      </c>
      <c r="L35" s="171">
        <v>-13</v>
      </c>
      <c r="M35" s="153"/>
      <c r="N35" s="149">
        <f t="shared" si="6"/>
        <v>-28280</v>
      </c>
      <c r="O35" s="67">
        <f t="shared" si="2"/>
        <v>2703148.3310344843</v>
      </c>
      <c r="P35" s="7">
        <f t="shared" si="4"/>
        <v>78391301.600000039</v>
      </c>
      <c r="Q35" s="164">
        <f t="shared" si="10"/>
        <v>2930143.45</v>
      </c>
      <c r="R35" s="29">
        <f t="shared" si="3"/>
        <v>2045.6706386899466</v>
      </c>
      <c r="S35" s="5">
        <f>SUM($Q$7:$Q35)/T35</f>
        <v>2946031.656896553</v>
      </c>
      <c r="T35" s="18">
        <v>29</v>
      </c>
      <c r="U35" s="4"/>
      <c r="V35" s="131"/>
      <c r="W35" s="105">
        <v>-1784115</v>
      </c>
      <c r="X35" s="167"/>
      <c r="Y35" s="156">
        <f>Y34-K35-L35-1</f>
        <v>-1784115</v>
      </c>
      <c r="Z35" s="217"/>
      <c r="AA35" s="92"/>
      <c r="AD35" s="1"/>
      <c r="AE35" s="1"/>
    </row>
    <row r="36" spans="2:31">
      <c r="B36" s="116">
        <v>44168</v>
      </c>
      <c r="C36" s="14" t="str">
        <f t="shared" si="0"/>
        <v/>
      </c>
      <c r="D36" s="87">
        <v>1881</v>
      </c>
      <c r="E36" s="87">
        <v>3</v>
      </c>
      <c r="F36" s="23">
        <v>-590695</v>
      </c>
      <c r="G36" s="26">
        <f>D36+E36+F36-E35-F35</f>
        <v>19281</v>
      </c>
      <c r="H36" s="132">
        <v>-8900</v>
      </c>
      <c r="I36" s="25">
        <v>10800</v>
      </c>
      <c r="J36" s="25">
        <v>-1600</v>
      </c>
      <c r="K36" s="170">
        <f t="shared" si="8"/>
        <v>300</v>
      </c>
      <c r="L36" s="171">
        <v>20</v>
      </c>
      <c r="M36" s="153"/>
      <c r="N36" s="149">
        <f t="shared" si="6"/>
        <v>19601</v>
      </c>
      <c r="O36" s="67">
        <f t="shared" si="2"/>
        <v>2706567.6683333348</v>
      </c>
      <c r="P36" s="7">
        <f t="shared" si="4"/>
        <v>81197030.050000042</v>
      </c>
      <c r="Q36" s="164">
        <f>Q35+N36-3</f>
        <v>2949741.45</v>
      </c>
      <c r="R36" s="29">
        <f t="shared" si="3"/>
        <v>2045.7565057784147</v>
      </c>
      <c r="S36" s="5">
        <f>SUM($Q$7:$Q36)/T36</f>
        <v>2946155.3166666683</v>
      </c>
      <c r="T36" s="18">
        <v>30</v>
      </c>
      <c r="U36" s="4"/>
      <c r="V36" s="136"/>
      <c r="W36" s="105">
        <v>-1784432</v>
      </c>
      <c r="X36" s="167"/>
      <c r="Y36" s="156">
        <f>Y35-K36-L36+3</f>
        <v>-1784432</v>
      </c>
      <c r="Z36" s="217"/>
      <c r="AD36" s="1"/>
      <c r="AE36" s="1"/>
    </row>
    <row r="37" spans="2:31">
      <c r="B37" s="116">
        <v>44169</v>
      </c>
      <c r="C37" s="14" t="str">
        <f t="shared" si="0"/>
        <v/>
      </c>
      <c r="D37" s="87"/>
      <c r="E37" s="87">
        <v>41</v>
      </c>
      <c r="F37" s="23">
        <v>-596651</v>
      </c>
      <c r="G37" s="26">
        <f>D37+E37+F37-E36-F36</f>
        <v>-5918</v>
      </c>
      <c r="H37" s="132">
        <v>-500</v>
      </c>
      <c r="I37" s="25">
        <v>20600</v>
      </c>
      <c r="J37" s="25">
        <v>-1600</v>
      </c>
      <c r="K37" s="170">
        <f t="shared" si="8"/>
        <v>18500</v>
      </c>
      <c r="L37" s="171">
        <v>-39</v>
      </c>
      <c r="M37" s="153"/>
      <c r="N37" s="149">
        <f t="shared" si="6"/>
        <v>12543</v>
      </c>
      <c r="O37" s="67">
        <f t="shared" si="2"/>
        <v>2710170.9193548402</v>
      </c>
      <c r="P37" s="7">
        <f t="shared" si="4"/>
        <v>84015298.500000045</v>
      </c>
      <c r="Q37" s="164">
        <f>Q36+N37-3</f>
        <v>2962281.45</v>
      </c>
      <c r="R37" s="29">
        <f t="shared" si="3"/>
        <v>2046.1184160569744</v>
      </c>
      <c r="S37" s="5">
        <f>SUM($Q$7:$Q37)/T37+1</f>
        <v>2946676.5145161306</v>
      </c>
      <c r="T37" s="18">
        <v>31</v>
      </c>
      <c r="U37" s="27"/>
      <c r="V37" s="137"/>
      <c r="W37" s="105">
        <v>-1802890</v>
      </c>
      <c r="X37" s="167"/>
      <c r="Y37" s="156">
        <f>Y36-K37-L37+3</f>
        <v>-1802890</v>
      </c>
      <c r="Z37" s="217"/>
      <c r="AA37" s="92"/>
      <c r="AD37" s="1"/>
      <c r="AE37" s="1"/>
    </row>
    <row r="38" spans="2:31">
      <c r="B38" s="116">
        <v>44170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2713548.9671875015</v>
      </c>
      <c r="P38" s="7">
        <f t="shared" si="4"/>
        <v>86833566.950000048</v>
      </c>
      <c r="Q38" s="164">
        <f t="shared" si="10"/>
        <v>2962281.45</v>
      </c>
      <c r="R38" s="29">
        <f t="shared" si="3"/>
        <v>2046.4563615784698</v>
      </c>
      <c r="S38" s="5">
        <f>SUM($Q$7:$Q38)/T38</f>
        <v>2947163.2000000016</v>
      </c>
      <c r="T38" s="18">
        <v>32</v>
      </c>
      <c r="U38" s="27"/>
      <c r="V38" s="137"/>
      <c r="W38" s="105">
        <v>-1802890</v>
      </c>
      <c r="X38" s="167"/>
      <c r="Y38" s="156">
        <f t="shared" si="7"/>
        <v>-1802890</v>
      </c>
      <c r="Z38" s="217"/>
      <c r="AD38" s="1"/>
      <c r="AE38" s="1"/>
    </row>
    <row r="39" spans="2:31">
      <c r="B39" s="116">
        <v>44171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2716722.2848484865</v>
      </c>
      <c r="P39" s="7">
        <f t="shared" si="4"/>
        <v>89651835.400000051</v>
      </c>
      <c r="Q39" s="164">
        <f t="shared" si="10"/>
        <v>2962281.45</v>
      </c>
      <c r="R39" s="29">
        <f t="shared" si="3"/>
        <v>2046.7737834694649</v>
      </c>
      <c r="S39" s="5">
        <f>SUM($Q$7:$Q39)/T39-1</f>
        <v>2947620.3287878805</v>
      </c>
      <c r="T39" s="18">
        <v>33</v>
      </c>
      <c r="U39" s="27"/>
      <c r="V39" s="137"/>
      <c r="W39" s="105">
        <v>-1802890</v>
      </c>
      <c r="X39" s="167"/>
      <c r="Y39" s="156">
        <f t="shared" si="7"/>
        <v>-1802890</v>
      </c>
      <c r="Z39" s="217"/>
      <c r="AD39" s="1"/>
      <c r="AE39" s="1"/>
    </row>
    <row r="40" spans="2:31">
      <c r="B40" s="116">
        <v>44172</v>
      </c>
      <c r="C40" s="14" t="str">
        <f t="shared" si="0"/>
        <v/>
      </c>
      <c r="D40" s="87"/>
      <c r="E40" s="87">
        <v>0</v>
      </c>
      <c r="F40" s="23">
        <v>-591425</v>
      </c>
      <c r="G40" s="26">
        <f>D40+E40+F40-E37-F37</f>
        <v>5185</v>
      </c>
      <c r="H40" s="132">
        <v>-2500</v>
      </c>
      <c r="I40" s="25">
        <v>4200</v>
      </c>
      <c r="J40" s="25">
        <v>-1200</v>
      </c>
      <c r="K40" s="170">
        <f t="shared" si="8"/>
        <v>500</v>
      </c>
      <c r="L40" s="171">
        <v>-32</v>
      </c>
      <c r="M40" s="153"/>
      <c r="N40" s="149">
        <f t="shared" si="6"/>
        <v>5653</v>
      </c>
      <c r="O40" s="67">
        <f t="shared" si="2"/>
        <v>2719875.2014705897</v>
      </c>
      <c r="P40" s="7">
        <f t="shared" si="4"/>
        <v>92475756.850000054</v>
      </c>
      <c r="Q40" s="164">
        <f t="shared" si="10"/>
        <v>2967934.45</v>
      </c>
      <c r="R40" s="29">
        <f t="shared" si="3"/>
        <v>2047.1893325806793</v>
      </c>
      <c r="S40" s="5">
        <f>SUM($Q$7:$Q40)/T40</f>
        <v>2948218.7735294136</v>
      </c>
      <c r="T40" s="18">
        <v>34</v>
      </c>
      <c r="U40" s="138">
        <f>B40</f>
        <v>44172</v>
      </c>
      <c r="V40" s="131" t="s">
        <v>363</v>
      </c>
      <c r="W40" s="105">
        <v>-1803357</v>
      </c>
      <c r="X40" s="167">
        <f>AVERAGE(W40:W48)</f>
        <v>-1839464.75</v>
      </c>
      <c r="Y40" s="156">
        <f>Y39-K40-L40+1</f>
        <v>-1803357</v>
      </c>
      <c r="Z40" s="217">
        <f>AVERAGE(Y40:Y48)</f>
        <v>-1839975.7777777778</v>
      </c>
      <c r="AD40" s="1"/>
      <c r="AE40" s="1"/>
    </row>
    <row r="41" spans="2:31">
      <c r="B41" s="116">
        <v>44173</v>
      </c>
      <c r="C41" s="14" t="str">
        <f t="shared" si="0"/>
        <v/>
      </c>
      <c r="D41" s="87"/>
      <c r="E41" s="87">
        <v>0</v>
      </c>
      <c r="F41" s="23">
        <v>-598661</v>
      </c>
      <c r="G41" s="26">
        <f>D41+E41+F41-E40-F40</f>
        <v>-7236</v>
      </c>
      <c r="H41" s="132">
        <v>300</v>
      </c>
      <c r="I41" s="25">
        <v>16600</v>
      </c>
      <c r="J41" s="25">
        <v>-1200</v>
      </c>
      <c r="K41" s="170">
        <f t="shared" si="8"/>
        <v>15700</v>
      </c>
      <c r="L41" s="171">
        <v>-14</v>
      </c>
      <c r="M41" s="153"/>
      <c r="N41" s="149">
        <f t="shared" si="6"/>
        <v>8450</v>
      </c>
      <c r="O41" s="67">
        <f t="shared" si="2"/>
        <v>2723089.3228571443</v>
      </c>
      <c r="P41" s="7">
        <f t="shared" si="4"/>
        <v>95308126.300000057</v>
      </c>
      <c r="Q41" s="164">
        <f>Q40+N41+12-4-10</f>
        <v>2976382.45</v>
      </c>
      <c r="R41" s="29">
        <f t="shared" si="3"/>
        <v>2047.7508627693344</v>
      </c>
      <c r="S41" s="5">
        <f>SUM($Q$7:$Q41)/T41+4</f>
        <v>2949027.4500000016</v>
      </c>
      <c r="T41" s="18">
        <v>35</v>
      </c>
      <c r="U41" s="138">
        <f>B40+8</f>
        <v>44180</v>
      </c>
      <c r="V41" s="137">
        <v>1817.2</v>
      </c>
      <c r="W41" s="105">
        <v>-1819042</v>
      </c>
      <c r="X41" s="167"/>
      <c r="Y41" s="156">
        <f t="shared" ref="Y41:Y47" si="11">Y40-K41-L41+1</f>
        <v>-1819042</v>
      </c>
      <c r="Z41" s="217"/>
      <c r="AD41" s="1"/>
      <c r="AE41" s="1"/>
    </row>
    <row r="42" spans="2:31">
      <c r="B42" s="116">
        <v>44174</v>
      </c>
      <c r="C42" s="14" t="str">
        <f t="shared" si="0"/>
        <v/>
      </c>
      <c r="D42" s="87">
        <f>-256+242</f>
        <v>-14</v>
      </c>
      <c r="E42" s="87">
        <v>1</v>
      </c>
      <c r="F42" s="23">
        <v>-605294</v>
      </c>
      <c r="G42" s="26">
        <f t="shared" ref="G42:G48" si="12">D42+E42+F42-E41-F41</f>
        <v>-6646</v>
      </c>
      <c r="H42" s="132">
        <v>300</v>
      </c>
      <c r="I42" s="25">
        <v>25400</v>
      </c>
      <c r="J42" s="25">
        <v>-1300</v>
      </c>
      <c r="K42" s="170">
        <f t="shared" si="8"/>
        <v>24400</v>
      </c>
      <c r="L42" s="171">
        <v>43</v>
      </c>
      <c r="M42" s="153"/>
      <c r="N42" s="149">
        <f t="shared" si="6"/>
        <v>17797</v>
      </c>
      <c r="O42" s="67">
        <f t="shared" si="2"/>
        <v>2726619.2430555574</v>
      </c>
      <c r="P42" s="7">
        <f t="shared" si="4"/>
        <v>98158292.75000006</v>
      </c>
      <c r="Q42" s="164">
        <f>Q41+N42</f>
        <v>2994179.45</v>
      </c>
      <c r="R42" s="29">
        <f t="shared" si="3"/>
        <v>2048.6218489534522</v>
      </c>
      <c r="S42" s="5">
        <f>SUM($Q$7:$Q42)/T42+4</f>
        <v>2950281.7833333351</v>
      </c>
      <c r="T42" s="18">
        <v>36</v>
      </c>
      <c r="U42" s="27"/>
      <c r="V42" s="137"/>
      <c r="W42" s="105">
        <v>-1843484</v>
      </c>
      <c r="X42" s="167"/>
      <c r="Y42" s="156">
        <f t="shared" si="11"/>
        <v>-1843484</v>
      </c>
      <c r="Z42" s="217"/>
      <c r="AD42" s="1"/>
      <c r="AE42" s="1"/>
    </row>
    <row r="43" spans="2:31">
      <c r="B43" s="116">
        <v>44175</v>
      </c>
      <c r="C43" s="14" t="str">
        <f t="shared" si="0"/>
        <v/>
      </c>
      <c r="D43" s="87"/>
      <c r="E43" s="87">
        <v>0</v>
      </c>
      <c r="F43" s="23">
        <v>-595380</v>
      </c>
      <c r="G43" s="26">
        <f t="shared" si="12"/>
        <v>9913</v>
      </c>
      <c r="H43" s="132">
        <v>300</v>
      </c>
      <c r="I43" s="25">
        <v>-3700</v>
      </c>
      <c r="J43" s="25">
        <v>-1300</v>
      </c>
      <c r="K43" s="170">
        <f t="shared" si="8"/>
        <v>-4700</v>
      </c>
      <c r="L43" s="171">
        <v>19</v>
      </c>
      <c r="M43" s="153"/>
      <c r="N43" s="149">
        <f t="shared" si="6"/>
        <v>5232</v>
      </c>
      <c r="O43" s="67">
        <f t="shared" si="2"/>
        <v>2730099.7351351366</v>
      </c>
      <c r="P43" s="7">
        <f t="shared" si="4"/>
        <v>101013690.20000006</v>
      </c>
      <c r="Q43" s="164">
        <f t="shared" ref="Q43:Q48" si="13">Q42+N43-1</f>
        <v>2999410.45</v>
      </c>
      <c r="R43" s="29">
        <f t="shared" si="3"/>
        <v>2049.5439253701024</v>
      </c>
      <c r="S43" s="5">
        <f>SUM($Q$7:$Q43)/T43+4</f>
        <v>2951609.6932432451</v>
      </c>
      <c r="T43" s="18">
        <v>37</v>
      </c>
      <c r="U43" s="27"/>
      <c r="V43" s="137"/>
      <c r="W43" s="105">
        <v>-1838802</v>
      </c>
      <c r="X43" s="167"/>
      <c r="Y43" s="156">
        <f t="shared" si="11"/>
        <v>-1838802</v>
      </c>
      <c r="Z43" s="217"/>
      <c r="AD43" s="1"/>
      <c r="AE43" s="1"/>
    </row>
    <row r="44" spans="2:31">
      <c r="B44" s="116">
        <v>44176</v>
      </c>
      <c r="C44" s="14" t="str">
        <f t="shared" si="0"/>
        <v/>
      </c>
      <c r="D44" s="87"/>
      <c r="E44" s="87">
        <v>0</v>
      </c>
      <c r="F44" s="23">
        <v>-571791</v>
      </c>
      <c r="G44" s="26">
        <f t="shared" si="12"/>
        <v>23589</v>
      </c>
      <c r="H44" s="132">
        <v>300</v>
      </c>
      <c r="I44" s="25">
        <v>16500</v>
      </c>
      <c r="J44" s="25">
        <v>-1300</v>
      </c>
      <c r="K44" s="170">
        <f t="shared" si="8"/>
        <v>15500</v>
      </c>
      <c r="L44" s="171">
        <v>20</v>
      </c>
      <c r="M44" s="153"/>
      <c r="N44" s="149">
        <f t="shared" si="6"/>
        <v>39109</v>
      </c>
      <c r="O44" s="67">
        <f t="shared" si="2"/>
        <v>2734426.1750000017</v>
      </c>
      <c r="P44" s="7">
        <f t="shared" si="4"/>
        <v>103908194.65000007</v>
      </c>
      <c r="Q44" s="164">
        <f>Q43+N44-2</f>
        <v>3038517.45</v>
      </c>
      <c r="R44" s="29">
        <f t="shared" si="3"/>
        <v>2051.1320816432153</v>
      </c>
      <c r="S44" s="5">
        <f>SUM($Q$7:$Q44)/T44+4</f>
        <v>2953896.8447368438</v>
      </c>
      <c r="T44" s="18">
        <v>38</v>
      </c>
      <c r="U44" s="27"/>
      <c r="V44" s="137"/>
      <c r="W44" s="105">
        <v>-1854320</v>
      </c>
      <c r="X44" s="167"/>
      <c r="Y44" s="156">
        <f>Y43-K44-L44+2</f>
        <v>-1854320</v>
      </c>
      <c r="Z44" s="217"/>
      <c r="AD44" s="1"/>
      <c r="AE44" s="1"/>
    </row>
    <row r="45" spans="2:31">
      <c r="B45" s="116">
        <v>44177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6"/>
        <v>0</v>
      </c>
      <c r="O45" s="67">
        <f t="shared" si="2"/>
        <v>2738530.7461538478</v>
      </c>
      <c r="P45" s="7">
        <f t="shared" si="4"/>
        <v>106802699.10000007</v>
      </c>
      <c r="Q45" s="164">
        <f>Q44+N45</f>
        <v>3038517.45</v>
      </c>
      <c r="R45" s="29">
        <f t="shared" si="3"/>
        <v>2052.6387940048871</v>
      </c>
      <c r="S45" s="5">
        <f>SUM($Q$7:$Q45)/T45+4</f>
        <v>2956066.7064102581</v>
      </c>
      <c r="T45" s="18">
        <v>39</v>
      </c>
      <c r="U45" s="27"/>
      <c r="V45" s="137"/>
      <c r="W45" s="105">
        <v>-1854320</v>
      </c>
      <c r="X45" s="167"/>
      <c r="Y45" s="156">
        <f>Y44-K45-L45</f>
        <v>-1854320</v>
      </c>
      <c r="Z45" s="217"/>
      <c r="AD45" s="1"/>
      <c r="AE45" s="1"/>
    </row>
    <row r="46" spans="2:31">
      <c r="B46" s="116">
        <v>44178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6"/>
        <v>0</v>
      </c>
      <c r="O46" s="67">
        <f t="shared" si="2"/>
        <v>2742430.088750002</v>
      </c>
      <c r="P46" s="7">
        <f t="shared" si="4"/>
        <v>109697203.55000007</v>
      </c>
      <c r="Q46" s="164">
        <f>Q45+N46</f>
        <v>3038517.45</v>
      </c>
      <c r="R46" s="29">
        <f t="shared" si="3"/>
        <v>2054.0673932214468</v>
      </c>
      <c r="S46" s="5">
        <f>SUM($Q$7:$Q46)/T46</f>
        <v>2958124.075000002</v>
      </c>
      <c r="T46" s="18">
        <v>40</v>
      </c>
      <c r="U46" s="27"/>
      <c r="V46" s="137"/>
      <c r="W46" s="105">
        <v>-1854320</v>
      </c>
      <c r="X46" s="167"/>
      <c r="Y46" s="156">
        <f>Y45-K46-L46</f>
        <v>-1854320</v>
      </c>
      <c r="Z46" s="217"/>
      <c r="AD46" s="1"/>
      <c r="AE46" s="1"/>
    </row>
    <row r="47" spans="2:31">
      <c r="B47" s="116">
        <v>44179</v>
      </c>
      <c r="C47" s="14" t="str">
        <f t="shared" si="0"/>
        <v/>
      </c>
      <c r="D47" s="87"/>
      <c r="E47" s="87">
        <v>0</v>
      </c>
      <c r="F47" s="23">
        <v>-591532</v>
      </c>
      <c r="G47" s="26">
        <f>D47+E47+F47-E44-F44</f>
        <v>-19741</v>
      </c>
      <c r="H47" s="132">
        <v>300</v>
      </c>
      <c r="I47" s="25">
        <v>-5000</v>
      </c>
      <c r="J47" s="25">
        <v>-1500</v>
      </c>
      <c r="K47" s="170">
        <f t="shared" si="8"/>
        <v>-6200</v>
      </c>
      <c r="L47" s="171">
        <v>-46</v>
      </c>
      <c r="M47" s="153"/>
      <c r="N47" s="149">
        <f t="shared" si="6"/>
        <v>-25987</v>
      </c>
      <c r="O47" s="67">
        <f t="shared" si="2"/>
        <v>2745505.3658536603</v>
      </c>
      <c r="P47" s="7">
        <f t="shared" si="4"/>
        <v>112565720.00000007</v>
      </c>
      <c r="Q47" s="164">
        <f>Q46+N47-1</f>
        <v>3012529.45</v>
      </c>
      <c r="R47" s="29">
        <f t="shared" si="3"/>
        <v>2054.9888102920258</v>
      </c>
      <c r="S47" s="5">
        <f>SUM($Q$7:$Q47)/T47</f>
        <v>2959451.0353658553</v>
      </c>
      <c r="T47" s="18">
        <v>41</v>
      </c>
      <c r="U47" s="138"/>
      <c r="V47" s="137"/>
      <c r="W47" s="105">
        <v>-1848073</v>
      </c>
      <c r="X47" s="167"/>
      <c r="Y47" s="156">
        <f t="shared" si="11"/>
        <v>-1848073</v>
      </c>
      <c r="Z47" s="217"/>
      <c r="AD47" s="1"/>
      <c r="AE47" s="1"/>
    </row>
    <row r="48" spans="2:31">
      <c r="B48" s="116">
        <v>44180</v>
      </c>
      <c r="C48" s="14" t="str">
        <f t="shared" si="0"/>
        <v/>
      </c>
      <c r="D48" s="87"/>
      <c r="E48" s="87">
        <v>0</v>
      </c>
      <c r="F48" s="23">
        <v>-585835</v>
      </c>
      <c r="G48" s="26">
        <f t="shared" si="12"/>
        <v>5697</v>
      </c>
      <c r="H48" s="132">
        <v>300</v>
      </c>
      <c r="I48" s="25">
        <v>-2800</v>
      </c>
      <c r="J48" s="25">
        <v>-1500</v>
      </c>
      <c r="K48" s="170">
        <f t="shared" si="8"/>
        <v>-4000</v>
      </c>
      <c r="L48" s="171">
        <v>-10</v>
      </c>
      <c r="M48" s="153"/>
      <c r="N48" s="149">
        <f t="shared" si="6"/>
        <v>1687</v>
      </c>
      <c r="O48" s="67">
        <f t="shared" si="2"/>
        <v>2748474.3440476209</v>
      </c>
      <c r="P48" s="7">
        <f t="shared" si="4"/>
        <v>115435922.45000008</v>
      </c>
      <c r="Q48" s="164">
        <f t="shared" si="13"/>
        <v>3014215.45</v>
      </c>
      <c r="R48" s="29">
        <f t="shared" si="3"/>
        <v>2055.8942248269268</v>
      </c>
      <c r="S48" s="5">
        <f>SUM($Q$7:$Q48)/T48</f>
        <v>2960754.950000002</v>
      </c>
      <c r="T48" s="18">
        <v>42</v>
      </c>
      <c r="U48" s="138"/>
      <c r="V48" s="137"/>
      <c r="W48" s="105"/>
      <c r="X48" s="167"/>
      <c r="Y48" s="156">
        <f>Y47-K48-L48-1</f>
        <v>-1844064</v>
      </c>
      <c r="Z48" s="217"/>
      <c r="AD48" s="1"/>
      <c r="AE48" s="1"/>
    </row>
    <row r="51" spans="4:7" ht="12.75" thickBot="1"/>
    <row r="52" spans="4:7" ht="13.5" thickTop="1" thickBot="1">
      <c r="D52" s="141" t="s">
        <v>58</v>
      </c>
      <c r="E52" s="20"/>
      <c r="F52" s="21"/>
      <c r="G52" s="22"/>
    </row>
    <row r="53" spans="4:7">
      <c r="D53" s="27" t="s">
        <v>59</v>
      </c>
      <c r="E53" s="139"/>
      <c r="F53" s="142"/>
      <c r="G53" s="90">
        <f>'Oct 2020'!Q55</f>
        <v>2781901.45</v>
      </c>
    </row>
    <row r="54" spans="4:7">
      <c r="D54" s="138" t="s">
        <v>4</v>
      </c>
      <c r="E54" s="139"/>
      <c r="F54" s="143"/>
      <c r="G54" s="91">
        <f>'Oct 2020'!E55</f>
        <v>0</v>
      </c>
    </row>
    <row r="55" spans="4:7">
      <c r="D55" s="138" t="s">
        <v>60</v>
      </c>
      <c r="E55" s="144"/>
      <c r="F55" s="143"/>
      <c r="G55" s="91">
        <f>'Oct 2020'!F55</f>
        <v>-646784</v>
      </c>
    </row>
    <row r="56" spans="4:7" ht="12.75" thickBot="1">
      <c r="D56" s="140" t="s">
        <v>46</v>
      </c>
      <c r="E56" s="145"/>
      <c r="F56" s="146"/>
      <c r="G56" s="158">
        <f>'Oct 2020'!W55</f>
        <v>-1674581</v>
      </c>
    </row>
    <row r="57" spans="4:7" ht="12.75" thickTop="1"/>
    <row r="65500" spans="23:23">
      <c r="W65500" s="105"/>
    </row>
    <row r="65507" spans="23:23">
      <c r="W65507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4ECA-5486-42EF-A09B-5A9F96110ADB}">
  <sheetPr codeName="Sheet21">
    <pageSetUpPr fitToPage="1"/>
  </sheetPr>
  <dimension ref="B1:IU65507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145544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44181</v>
      </c>
      <c r="C7" s="196" t="str">
        <f t="shared" ref="C7:C48" si="0">IF(OR(WEEKDAY(B7)=1,WEEKDAY(B7)=7),"F","")</f>
        <v/>
      </c>
      <c r="D7" s="197">
        <f>-8417-5135-242+50414+344</f>
        <v>36964</v>
      </c>
      <c r="E7" s="197">
        <v>5</v>
      </c>
      <c r="F7" s="198">
        <v>-531874</v>
      </c>
      <c r="G7" s="199">
        <f>D7+E7+F7-G54-G55</f>
        <v>90930</v>
      </c>
      <c r="H7" s="132">
        <v>5300</v>
      </c>
      <c r="I7" s="63">
        <v>-25900</v>
      </c>
      <c r="J7" s="63">
        <v>-1500</v>
      </c>
      <c r="K7" s="168">
        <f t="shared" ref="K7:K9" si="1">+H7+I7+J7</f>
        <v>-22100</v>
      </c>
      <c r="L7" s="169">
        <v>-21</v>
      </c>
      <c r="M7" s="203"/>
      <c r="N7" s="204">
        <f>L7+K7+G7+M7</f>
        <v>68809</v>
      </c>
      <c r="O7" s="205">
        <f t="shared" ref="O7:O48" si="2">P7/T7</f>
        <v>2937482.45</v>
      </c>
      <c r="P7" s="206">
        <f>(+$Q7-$Q$3)</f>
        <v>2937482.45</v>
      </c>
      <c r="Q7" s="207">
        <f>G53+N7+2</f>
        <v>3083026.45</v>
      </c>
      <c r="R7" s="208">
        <f t="shared" ref="R7:R48" si="3">$S7/$Q$3*100</f>
        <v>2118.2779434397848</v>
      </c>
      <c r="S7" s="209">
        <f>$Q7</f>
        <v>3083026.45</v>
      </c>
      <c r="T7" s="210">
        <v>1</v>
      </c>
      <c r="U7" s="211">
        <f>B7</f>
        <v>44181</v>
      </c>
      <c r="V7" s="212">
        <v>1797.6</v>
      </c>
      <c r="W7" s="213">
        <v>-1821945</v>
      </c>
      <c r="X7" s="214">
        <f>AVERAGE(W7:W11)</f>
        <v>-1813262.6</v>
      </c>
      <c r="Y7" s="215">
        <f>-L7-K7+'Nov 2020'!Y48-2</f>
        <v>-1821945</v>
      </c>
      <c r="Z7" s="216">
        <f>AVERAGE(Y7:Y13)</f>
        <v>-1813331</v>
      </c>
      <c r="AA7" s="92"/>
    </row>
    <row r="8" spans="2:255">
      <c r="B8" s="116">
        <v>44182</v>
      </c>
      <c r="C8" s="14"/>
      <c r="D8" s="128">
        <f>-510+478</f>
        <v>-32</v>
      </c>
      <c r="E8" s="128">
        <v>5</v>
      </c>
      <c r="F8" s="162">
        <v>-557639</v>
      </c>
      <c r="G8" s="26">
        <f>D8+E8+F8-E7-F7</f>
        <v>-25797</v>
      </c>
      <c r="H8" s="132">
        <v>-700</v>
      </c>
      <c r="I8" s="63">
        <v>1700</v>
      </c>
      <c r="J8" s="63">
        <v>-1500</v>
      </c>
      <c r="K8" s="170">
        <f t="shared" si="1"/>
        <v>-500</v>
      </c>
      <c r="L8" s="171">
        <v>24</v>
      </c>
      <c r="M8" s="153"/>
      <c r="N8" s="149">
        <f>L8+K8+G8+M8</f>
        <v>-26273</v>
      </c>
      <c r="O8" s="67">
        <f t="shared" si="2"/>
        <v>1455604.7250000001</v>
      </c>
      <c r="P8" s="163">
        <f>(IF($Q8&lt;0,-$Q$3+P6,($Q8-$Q$3)+P6))</f>
        <v>2911209.45</v>
      </c>
      <c r="Q8" s="164">
        <f>Q7+N8</f>
        <v>3056753.45</v>
      </c>
      <c r="R8" s="29">
        <f t="shared" si="3"/>
        <v>2109.2521505524105</v>
      </c>
      <c r="S8" s="165">
        <f>SUM($Q$7:$Q8)/T8</f>
        <v>3069889.95</v>
      </c>
      <c r="T8" s="166">
        <v>2</v>
      </c>
      <c r="U8" s="138">
        <f>B7+6</f>
        <v>44187</v>
      </c>
      <c r="V8" s="131"/>
      <c r="W8" s="105">
        <v>-1821469</v>
      </c>
      <c r="X8" s="167"/>
      <c r="Y8" s="156">
        <f>Y7-K8-L8</f>
        <v>-1821469</v>
      </c>
      <c r="Z8" s="217"/>
      <c r="AA8" s="92"/>
    </row>
    <row r="9" spans="2:255">
      <c r="B9" s="116">
        <v>44183</v>
      </c>
      <c r="C9" s="14" t="str">
        <f t="shared" si="0"/>
        <v/>
      </c>
      <c r="D9" s="87"/>
      <c r="E9" s="87">
        <v>5</v>
      </c>
      <c r="F9" s="23">
        <v>-563718</v>
      </c>
      <c r="G9" s="26">
        <f>D9+E9+F9-E8-F8</f>
        <v>-6079</v>
      </c>
      <c r="H9" s="132">
        <v>-14700</v>
      </c>
      <c r="I9" s="63">
        <v>2400</v>
      </c>
      <c r="J9" s="63">
        <v>-1500</v>
      </c>
      <c r="K9" s="170">
        <f t="shared" si="1"/>
        <v>-13800</v>
      </c>
      <c r="L9" s="171">
        <v>-38</v>
      </c>
      <c r="M9" s="153"/>
      <c r="N9" s="149">
        <f>L9+K9+G9+M9</f>
        <v>-19917</v>
      </c>
      <c r="O9" s="67">
        <f t="shared" si="2"/>
        <v>1942925.6333333335</v>
      </c>
      <c r="P9" s="7">
        <f>(IF($Q9&lt;0,-$Q$3+P7,($Q9-$Q$3)+P7))</f>
        <v>5828776.9000000004</v>
      </c>
      <c r="Q9" s="164">
        <f>Q8+N9+2</f>
        <v>3036838.45</v>
      </c>
      <c r="R9" s="29">
        <f t="shared" si="3"/>
        <v>2101.683190879276</v>
      </c>
      <c r="S9" s="5">
        <f>SUM($Q$7:$Q9)/T9+1</f>
        <v>3058873.7833333337</v>
      </c>
      <c r="T9" s="17">
        <v>3</v>
      </c>
      <c r="U9" s="4"/>
      <c r="V9" s="131"/>
      <c r="W9" s="105">
        <v>-1807633</v>
      </c>
      <c r="X9" s="167"/>
      <c r="Y9" s="156">
        <f>Y8-K9-L9-2</f>
        <v>-1807633</v>
      </c>
      <c r="Z9" s="217"/>
      <c r="AA9" s="92"/>
    </row>
    <row r="10" spans="2:255">
      <c r="B10" s="116">
        <v>44184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2180017.8375000004</v>
      </c>
      <c r="P10" s="7">
        <f t="shared" ref="P10:P48" si="4">(IF($Q10&lt;0,-$Q$3+P9,($Q10-$Q$3)+P9))</f>
        <v>8720071.3500000015</v>
      </c>
      <c r="Q10" s="164">
        <f t="shared" ref="Q10:Q18" si="5">Q9+N10</f>
        <v>3036838.45</v>
      </c>
      <c r="R10" s="29">
        <f t="shared" si="3"/>
        <v>2097.8969933490907</v>
      </c>
      <c r="S10" s="5">
        <f>SUM($Q$7:$Q10)/T10-1</f>
        <v>3053363.2000000002</v>
      </c>
      <c r="T10" s="17">
        <v>4</v>
      </c>
      <c r="U10" s="27"/>
      <c r="V10" s="133"/>
      <c r="W10" s="105">
        <v>-1807633</v>
      </c>
      <c r="X10" s="167"/>
      <c r="Y10" s="156">
        <f>Y9-K10-L10</f>
        <v>-1807633</v>
      </c>
      <c r="Z10" s="217"/>
      <c r="AA10" s="92"/>
    </row>
    <row r="11" spans="2:255">
      <c r="B11" s="116">
        <v>44185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2322273.16</v>
      </c>
      <c r="P11" s="7">
        <f t="shared" si="4"/>
        <v>11611365.800000001</v>
      </c>
      <c r="Q11" s="164">
        <f t="shared" si="5"/>
        <v>3036838.45</v>
      </c>
      <c r="R11" s="29">
        <f t="shared" si="3"/>
        <v>2095.6260993239157</v>
      </c>
      <c r="S11" s="5">
        <f>SUM($Q$7:$Q11)/T11-1</f>
        <v>3050058.05</v>
      </c>
      <c r="T11" s="17">
        <v>5</v>
      </c>
      <c r="U11" s="27"/>
      <c r="V11" s="134"/>
      <c r="W11" s="105">
        <v>-1807633</v>
      </c>
      <c r="X11" s="167"/>
      <c r="Y11" s="156">
        <f t="shared" ref="Y11:Y39" si="7">Y10-K11-L11</f>
        <v>-1807633</v>
      </c>
      <c r="Z11" s="217"/>
      <c r="AA11" s="92"/>
    </row>
    <row r="12" spans="2:255">
      <c r="B12" s="116">
        <v>44186</v>
      </c>
      <c r="C12" s="14" t="str">
        <f t="shared" si="0"/>
        <v/>
      </c>
      <c r="D12" s="87"/>
      <c r="E12" s="161">
        <v>4</v>
      </c>
      <c r="F12" s="23">
        <v>-555068</v>
      </c>
      <c r="G12" s="26">
        <f>D12+E12+F12-E9-F9</f>
        <v>8649</v>
      </c>
      <c r="H12" s="132">
        <v>-10700</v>
      </c>
      <c r="I12" s="63">
        <v>14600</v>
      </c>
      <c r="J12" s="63">
        <v>-2200</v>
      </c>
      <c r="K12" s="170">
        <f t="shared" ref="K12:K48" si="8">+H12+I12+J12</f>
        <v>1700</v>
      </c>
      <c r="L12" s="171">
        <v>-12</v>
      </c>
      <c r="M12" s="153"/>
      <c r="N12" s="149">
        <f t="shared" si="6"/>
        <v>10337</v>
      </c>
      <c r="O12" s="67">
        <f t="shared" si="2"/>
        <v>2418832.7083333335</v>
      </c>
      <c r="P12" s="7">
        <f t="shared" si="4"/>
        <v>14512996.25</v>
      </c>
      <c r="Q12" s="164">
        <f>Q11+N12-1</f>
        <v>3047174.45</v>
      </c>
      <c r="R12" s="29">
        <f t="shared" si="3"/>
        <v>2095.3012720093811</v>
      </c>
      <c r="S12" s="5">
        <f>SUM($Q$7:$Q12)/T12+7</f>
        <v>3049585.2833333332</v>
      </c>
      <c r="T12" s="17">
        <v>6</v>
      </c>
      <c r="U12" s="138">
        <f>B13</f>
        <v>44187</v>
      </c>
      <c r="V12" s="131">
        <v>1864.1</v>
      </c>
      <c r="W12" s="105">
        <v>-1809320</v>
      </c>
      <c r="X12" s="167">
        <f>AVERAGE(W12:W20)</f>
        <v>-1781442.2222222222</v>
      </c>
      <c r="Y12" s="156">
        <f>Y11-K12-L12+1</f>
        <v>-1809320</v>
      </c>
      <c r="Z12" s="217">
        <f>AVERAGE(Y12:Y20)</f>
        <v>-1781442.2222222222</v>
      </c>
      <c r="AA12" s="92"/>
    </row>
    <row r="13" spans="2:255">
      <c r="B13" s="116">
        <v>44187</v>
      </c>
      <c r="C13" s="14"/>
      <c r="D13" s="87"/>
      <c r="E13" s="87">
        <v>1</v>
      </c>
      <c r="F13" s="23">
        <v>-601431</v>
      </c>
      <c r="G13" s="26">
        <f>D13+E13+F13-E12-F12</f>
        <v>-46366</v>
      </c>
      <c r="H13" s="132">
        <v>-500</v>
      </c>
      <c r="I13" s="63">
        <v>11100</v>
      </c>
      <c r="J13" s="63">
        <v>-2200</v>
      </c>
      <c r="K13" s="170">
        <f t="shared" si="8"/>
        <v>8400</v>
      </c>
      <c r="L13" s="171">
        <v>-37</v>
      </c>
      <c r="M13" s="153"/>
      <c r="N13" s="149">
        <f t="shared" si="6"/>
        <v>-38003</v>
      </c>
      <c r="O13" s="67">
        <f t="shared" si="2"/>
        <v>2482374.9571428569</v>
      </c>
      <c r="P13" s="7">
        <f>(IF($Q13&lt;0,-$Q$3+P12,($Q13-$Q$3)+P12))</f>
        <v>17376624.699999999</v>
      </c>
      <c r="Q13" s="164">
        <f>Q12+N13+1</f>
        <v>3009172.45</v>
      </c>
      <c r="R13" s="29">
        <f t="shared" si="3"/>
        <v>2091.3345939568594</v>
      </c>
      <c r="S13" s="5">
        <f>SUM($Q$7:$Q13)/T13+6</f>
        <v>3043812.0214285711</v>
      </c>
      <c r="T13" s="17">
        <v>7</v>
      </c>
      <c r="U13" s="138">
        <f>B14+6</f>
        <v>44194</v>
      </c>
      <c r="V13" s="249"/>
      <c r="W13" s="105">
        <v>-1817684</v>
      </c>
      <c r="X13" s="167"/>
      <c r="Y13" s="156">
        <f>Y12-K13-L13-1</f>
        <v>-1817684</v>
      </c>
      <c r="Z13" s="217"/>
      <c r="AA13" s="92"/>
      <c r="AB13" s="92"/>
    </row>
    <row r="14" spans="2:255">
      <c r="B14" s="116">
        <v>44188</v>
      </c>
      <c r="C14" s="14"/>
      <c r="D14" s="87">
        <f>-344+262</f>
        <v>-82</v>
      </c>
      <c r="E14" s="87">
        <v>0</v>
      </c>
      <c r="F14" s="23">
        <v>-596155</v>
      </c>
      <c r="G14" s="26">
        <f>D14+E14+F14-E13-F13</f>
        <v>5193</v>
      </c>
      <c r="H14" s="132">
        <v>300</v>
      </c>
      <c r="I14" s="63">
        <v>-12600</v>
      </c>
      <c r="J14" s="63">
        <v>-2200</v>
      </c>
      <c r="K14" s="170">
        <f t="shared" si="8"/>
        <v>-14500</v>
      </c>
      <c r="L14" s="171">
        <v>-25</v>
      </c>
      <c r="M14" s="154"/>
      <c r="N14" s="149">
        <f>L14+K14+G14+M14</f>
        <v>-9332</v>
      </c>
      <c r="O14" s="67">
        <f t="shared" si="2"/>
        <v>2528864.8937499998</v>
      </c>
      <c r="P14" s="7">
        <f t="shared" si="4"/>
        <v>20230919.149999999</v>
      </c>
      <c r="Q14" s="164">
        <f>Q13+N14-2</f>
        <v>2999838.45</v>
      </c>
      <c r="R14" s="29">
        <f t="shared" si="3"/>
        <v>2087.5536435717031</v>
      </c>
      <c r="S14" s="5">
        <f>SUM($Q$7:$Q14)/T14-1</f>
        <v>3038309.0749999997</v>
      </c>
      <c r="T14" s="17">
        <v>8</v>
      </c>
      <c r="U14" s="4"/>
      <c r="V14" s="4"/>
      <c r="W14" s="105">
        <v>-1803157</v>
      </c>
      <c r="X14" s="167"/>
      <c r="Y14" s="156">
        <f>Y13-K14-L14+2</f>
        <v>-1803157</v>
      </c>
      <c r="Z14" s="217"/>
      <c r="AA14" s="92"/>
    </row>
    <row r="15" spans="2:255">
      <c r="B15" s="116">
        <v>44189</v>
      </c>
      <c r="C15" s="14" t="str">
        <f t="shared" si="0"/>
        <v/>
      </c>
      <c r="D15" s="87"/>
      <c r="E15" s="87">
        <v>3</v>
      </c>
      <c r="F15" s="23">
        <v>-591423</v>
      </c>
      <c r="G15" s="26">
        <f>D15+E15+F15-E14-F14</f>
        <v>4735</v>
      </c>
      <c r="H15" s="132">
        <v>300</v>
      </c>
      <c r="I15" s="63">
        <v>-23100</v>
      </c>
      <c r="J15" s="63">
        <v>-2300</v>
      </c>
      <c r="K15" s="170">
        <f t="shared" si="8"/>
        <v>-25100</v>
      </c>
      <c r="L15" s="172">
        <v>-34</v>
      </c>
      <c r="M15" s="153"/>
      <c r="N15" s="149">
        <f>L15+K15+G15+M15</f>
        <v>-20399</v>
      </c>
      <c r="O15" s="67">
        <f t="shared" si="2"/>
        <v>2562757.2888888884</v>
      </c>
      <c r="P15" s="7">
        <f t="shared" si="4"/>
        <v>23064815.599999998</v>
      </c>
      <c r="Q15" s="164">
        <f>Q14+N15+1</f>
        <v>2979440.45</v>
      </c>
      <c r="R15" s="29">
        <f t="shared" si="3"/>
        <v>2083.0635447394293</v>
      </c>
      <c r="S15" s="5">
        <f>SUM($Q$7:$Q15)/T15+5</f>
        <v>3031774.0055555552</v>
      </c>
      <c r="T15" s="17">
        <v>9</v>
      </c>
      <c r="U15" s="4"/>
      <c r="V15" s="4"/>
      <c r="W15" s="105">
        <v>-1778024</v>
      </c>
      <c r="X15" s="167"/>
      <c r="Y15" s="156">
        <f>Y14-K15-L15-1</f>
        <v>-1778024</v>
      </c>
      <c r="Z15" s="217"/>
      <c r="AA15" s="92"/>
      <c r="AB15" s="92"/>
    </row>
    <row r="16" spans="2:255" s="69" customFormat="1">
      <c r="B16" s="116">
        <v>44190</v>
      </c>
      <c r="C16" s="14" t="s">
        <v>242</v>
      </c>
      <c r="D16" s="129"/>
      <c r="E16" s="87"/>
      <c r="F16" s="23"/>
      <c r="G16" s="26"/>
      <c r="H16" s="132"/>
      <c r="I16" s="63"/>
      <c r="J16" s="63"/>
      <c r="K16" s="170"/>
      <c r="L16" s="172"/>
      <c r="M16" s="153"/>
      <c r="N16" s="152">
        <f>L16+K16+G16+M16</f>
        <v>0</v>
      </c>
      <c r="O16" s="67">
        <f t="shared" si="2"/>
        <v>2589871.3049999997</v>
      </c>
      <c r="P16" s="70">
        <f t="shared" si="4"/>
        <v>25898713.049999997</v>
      </c>
      <c r="Q16" s="164">
        <f>Q15+N16+1</f>
        <v>2979441.45</v>
      </c>
      <c r="R16" s="71">
        <f t="shared" si="3"/>
        <v>2079.4648010223709</v>
      </c>
      <c r="S16" s="72">
        <f>SUM($Q$7:$Q16)/T16</f>
        <v>3026536.2499999995</v>
      </c>
      <c r="T16" s="73">
        <v>10</v>
      </c>
      <c r="U16" s="218"/>
      <c r="V16" s="133"/>
      <c r="W16" s="105">
        <v>-1778024</v>
      </c>
      <c r="X16" s="167"/>
      <c r="Y16" s="156">
        <f>Y15-K16-L16</f>
        <v>-1778024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44191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2612055.4999999995</v>
      </c>
      <c r="P17" s="7">
        <f t="shared" si="4"/>
        <v>28732610.499999996</v>
      </c>
      <c r="Q17" s="164">
        <f t="shared" si="5"/>
        <v>2979441.45</v>
      </c>
      <c r="R17" s="29">
        <f t="shared" si="3"/>
        <v>2076.5231851161534</v>
      </c>
      <c r="S17" s="5">
        <f>SUM($Q$7:$Q17)/T17</f>
        <v>3022254.9045454543</v>
      </c>
      <c r="T17" s="18">
        <v>11</v>
      </c>
      <c r="U17" s="27"/>
      <c r="V17" s="136"/>
      <c r="W17" s="105">
        <v>-1778024</v>
      </c>
      <c r="X17" s="167"/>
      <c r="Y17" s="156">
        <f t="shared" si="7"/>
        <v>-1778024</v>
      </c>
      <c r="Z17" s="217"/>
      <c r="AA17" s="92"/>
      <c r="AC17" s="92"/>
    </row>
    <row r="18" spans="2:31">
      <c r="B18" s="116">
        <v>44192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2630542.3291666661</v>
      </c>
      <c r="P18" s="7">
        <f t="shared" si="4"/>
        <v>31566507.949999996</v>
      </c>
      <c r="Q18" s="164">
        <f t="shared" si="5"/>
        <v>2979441.45</v>
      </c>
      <c r="R18" s="29">
        <f t="shared" si="3"/>
        <v>2074.0711514501913</v>
      </c>
      <c r="S18" s="5">
        <f>SUM($Q$7:$Q18)/T18-1</f>
        <v>3018686.1166666667</v>
      </c>
      <c r="T18" s="18">
        <v>12</v>
      </c>
      <c r="U18" s="27"/>
      <c r="V18" s="136"/>
      <c r="W18" s="105">
        <v>-1778024</v>
      </c>
      <c r="X18" s="167"/>
      <c r="Y18" s="156">
        <f t="shared" si="7"/>
        <v>-1778024</v>
      </c>
      <c r="Z18" s="217"/>
      <c r="AA18" s="92"/>
    </row>
    <row r="19" spans="2:31">
      <c r="B19" s="116">
        <v>44193</v>
      </c>
      <c r="C19" s="14" t="str">
        <f t="shared" si="0"/>
        <v/>
      </c>
      <c r="D19" s="87"/>
      <c r="E19" s="87">
        <v>0</v>
      </c>
      <c r="F19" s="23">
        <v>-645399</v>
      </c>
      <c r="G19" s="26">
        <f>D19+E19+F19-E15-F15</f>
        <v>-53979</v>
      </c>
      <c r="H19" s="132">
        <v>300</v>
      </c>
      <c r="I19" s="63">
        <v>-28060</v>
      </c>
      <c r="J19" s="63">
        <v>-300</v>
      </c>
      <c r="K19" s="170">
        <f t="shared" si="8"/>
        <v>-28060</v>
      </c>
      <c r="L19" s="171">
        <v>-6</v>
      </c>
      <c r="M19" s="153"/>
      <c r="N19" s="149">
        <f t="shared" si="6"/>
        <v>-82045</v>
      </c>
      <c r="O19" s="67">
        <f t="shared" si="2"/>
        <v>2639873.9538461538</v>
      </c>
      <c r="P19" s="7">
        <f t="shared" si="4"/>
        <v>34318361.399999999</v>
      </c>
      <c r="Q19" s="164">
        <f>Q18+N19+1</f>
        <v>2897397.45</v>
      </c>
      <c r="R19" s="29">
        <f t="shared" si="3"/>
        <v>2067.6607364836009</v>
      </c>
      <c r="S19" s="5">
        <f>SUM($Q$7:$Q19)/T19-1</f>
        <v>3009356.1423076922</v>
      </c>
      <c r="T19" s="18">
        <v>13</v>
      </c>
      <c r="U19" s="138">
        <f>B19</f>
        <v>44193</v>
      </c>
      <c r="V19" s="131">
        <v>1901.8</v>
      </c>
      <c r="W19" s="105">
        <v>-1749960</v>
      </c>
      <c r="X19" s="167">
        <f>AVERAGE(W19:W27)</f>
        <v>-1728944.888888889</v>
      </c>
      <c r="Y19" s="156">
        <f>Y18-K19-L19-2</f>
        <v>-1749960</v>
      </c>
      <c r="Z19" s="217">
        <f>AVERAGE(Y20:Y27)</f>
        <v>-1727280.5</v>
      </c>
      <c r="AA19" s="92"/>
    </row>
    <row r="20" spans="2:31">
      <c r="B20" s="116">
        <v>44194</v>
      </c>
      <c r="C20" s="14"/>
      <c r="D20" s="87"/>
      <c r="E20" s="87">
        <v>44</v>
      </c>
      <c r="F20" s="23">
        <v>-647590</v>
      </c>
      <c r="G20" s="26">
        <f>D20+E20+F20-E19-F19</f>
        <v>-2147</v>
      </c>
      <c r="H20" s="132">
        <v>300</v>
      </c>
      <c r="I20" s="63">
        <v>-9200</v>
      </c>
      <c r="J20" s="63">
        <v>-300</v>
      </c>
      <c r="K20" s="170">
        <f t="shared" si="8"/>
        <v>-9200</v>
      </c>
      <c r="L20" s="171">
        <v>2</v>
      </c>
      <c r="M20" s="153"/>
      <c r="N20" s="149">
        <f>L20+K20+G20+M20+168</f>
        <v>-11177</v>
      </c>
      <c r="O20" s="67">
        <f t="shared" si="2"/>
        <v>2647074.2035714285</v>
      </c>
      <c r="P20" s="7">
        <f t="shared" si="4"/>
        <v>37059038.850000001</v>
      </c>
      <c r="Q20" s="164">
        <f>Q19+N20+1</f>
        <v>2886221.45</v>
      </c>
      <c r="R20" s="29">
        <f t="shared" si="3"/>
        <v>2061.6176109728235</v>
      </c>
      <c r="S20" s="5">
        <f>SUM($Q$7:$Q20)/T20-1</f>
        <v>3000560.7357142861</v>
      </c>
      <c r="T20" s="18">
        <v>14</v>
      </c>
      <c r="U20" s="138">
        <f>B19+8</f>
        <v>44201</v>
      </c>
      <c r="V20" s="131"/>
      <c r="W20" s="105">
        <v>-1740763</v>
      </c>
      <c r="X20" s="167"/>
      <c r="Y20" s="156">
        <f>Y19-K20-L20-1</f>
        <v>-1740763</v>
      </c>
      <c r="Z20" s="217"/>
      <c r="AA20" s="92"/>
      <c r="AB20" s="92"/>
    </row>
    <row r="21" spans="2:31">
      <c r="B21" s="116">
        <v>44195</v>
      </c>
      <c r="C21" s="14" t="str">
        <f t="shared" si="0"/>
        <v/>
      </c>
      <c r="D21" s="87">
        <f>-262+468</f>
        <v>206</v>
      </c>
      <c r="E21" s="87">
        <v>83</v>
      </c>
      <c r="F21" s="23">
        <v>-662938</v>
      </c>
      <c r="G21" s="26">
        <f>D21+E21+F21-E20-F20</f>
        <v>-15103</v>
      </c>
      <c r="H21" s="132">
        <v>300</v>
      </c>
      <c r="I21" s="63">
        <v>-2400</v>
      </c>
      <c r="J21" s="63">
        <v>-200</v>
      </c>
      <c r="K21" s="170">
        <f t="shared" si="8"/>
        <v>-2300</v>
      </c>
      <c r="L21" s="171">
        <v>8</v>
      </c>
      <c r="M21" s="153"/>
      <c r="N21" s="149">
        <f>L21+K21+G21+M21+4</f>
        <v>-17391</v>
      </c>
      <c r="O21" s="67">
        <f t="shared" si="2"/>
        <v>2652155.0866666669</v>
      </c>
      <c r="P21" s="7">
        <f t="shared" si="4"/>
        <v>39782326.300000004</v>
      </c>
      <c r="Q21" s="164">
        <f>Q20+N21+1</f>
        <v>2868831.45</v>
      </c>
      <c r="R21" s="29">
        <f t="shared" si="3"/>
        <v>2055.5836837428319</v>
      </c>
      <c r="S21" s="5">
        <f>SUM($Q$7:$Q21)/T21-1</f>
        <v>2991778.7166666673</v>
      </c>
      <c r="T21" s="18">
        <v>15</v>
      </c>
      <c r="U21" s="4"/>
      <c r="V21" s="131"/>
      <c r="W21" s="105">
        <v>-1738572</v>
      </c>
      <c r="X21" s="167"/>
      <c r="Y21" s="156">
        <f>Y20-K21-L21-1</f>
        <v>-1738472</v>
      </c>
      <c r="Z21" s="217"/>
      <c r="AA21" s="92"/>
    </row>
    <row r="22" spans="2:31">
      <c r="B22" s="116">
        <v>44196</v>
      </c>
      <c r="C22" s="14" t="str">
        <f t="shared" si="0"/>
        <v/>
      </c>
      <c r="D22" s="87"/>
      <c r="E22" s="87">
        <v>152</v>
      </c>
      <c r="F22" s="23">
        <v>-683863</v>
      </c>
      <c r="G22" s="26">
        <f>D22+E22+F22-E21-F21</f>
        <v>-20856</v>
      </c>
      <c r="H22" s="132">
        <v>-11700</v>
      </c>
      <c r="I22" s="63">
        <v>-29400</v>
      </c>
      <c r="J22" s="63">
        <v>-100</v>
      </c>
      <c r="K22" s="170">
        <f t="shared" si="8"/>
        <v>-41200</v>
      </c>
      <c r="L22" s="171">
        <v>29</v>
      </c>
      <c r="M22" s="153"/>
      <c r="N22" s="149">
        <f>L22+K22+G22+M22-1399</f>
        <v>-63426</v>
      </c>
      <c r="O22" s="67">
        <f t="shared" si="2"/>
        <v>2652636.7343750005</v>
      </c>
      <c r="P22" s="7">
        <f t="shared" si="4"/>
        <v>42442187.750000007</v>
      </c>
      <c r="Q22" s="164">
        <f>Q21+N22</f>
        <v>2805405.45</v>
      </c>
      <c r="R22" s="29">
        <f t="shared" si="3"/>
        <v>2047.5830848403239</v>
      </c>
      <c r="S22" s="5">
        <f>SUM($Q$7:$Q22)/T22+3</f>
        <v>2980134.3250000007</v>
      </c>
      <c r="T22" s="18">
        <v>16</v>
      </c>
      <c r="U22" s="4"/>
      <c r="V22" s="131"/>
      <c r="W22" s="105">
        <v>-1696000</v>
      </c>
      <c r="X22" s="167"/>
      <c r="Y22" s="156">
        <f>Y21-K22-L22+1</f>
        <v>-1697300</v>
      </c>
      <c r="Z22" s="217"/>
      <c r="AA22" s="92"/>
    </row>
    <row r="23" spans="2:31">
      <c r="B23" s="116">
        <v>44197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/>
      <c r="L23" s="171"/>
      <c r="M23" s="153"/>
      <c r="N23" s="149">
        <f>L23+K23+G23+M23</f>
        <v>0</v>
      </c>
      <c r="O23" s="67">
        <f t="shared" si="2"/>
        <v>2653061.7176470594</v>
      </c>
      <c r="P23" s="7">
        <f t="shared" si="4"/>
        <v>45102049.20000001</v>
      </c>
      <c r="Q23" s="164">
        <f t="shared" ref="Q23:Q47" si="9">Q22+N23</f>
        <v>2805405.45</v>
      </c>
      <c r="R23" s="29">
        <f t="shared" si="3"/>
        <v>2040.519246655954</v>
      </c>
      <c r="S23" s="5">
        <f>SUM($Q$7:$Q23)/T23</f>
        <v>2969853.3323529419</v>
      </c>
      <c r="T23" s="18">
        <v>17</v>
      </c>
      <c r="U23" s="27"/>
      <c r="V23" s="135"/>
      <c r="W23" s="105">
        <v>-1696000</v>
      </c>
      <c r="X23" s="167"/>
      <c r="Y23" s="156">
        <f>Y22-K23-L23</f>
        <v>-1697300</v>
      </c>
      <c r="Z23" s="217"/>
      <c r="AA23" s="92"/>
    </row>
    <row r="24" spans="2:31">
      <c r="B24" s="116">
        <v>44198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2653439.4805555562</v>
      </c>
      <c r="P24" s="7">
        <f t="shared" si="4"/>
        <v>47761910.650000013</v>
      </c>
      <c r="Q24" s="164">
        <f t="shared" si="9"/>
        <v>2805405.45</v>
      </c>
      <c r="R24" s="29">
        <f t="shared" si="3"/>
        <v>2034.2421115874852</v>
      </c>
      <c r="S24" s="5">
        <f>SUM($Q$7:$Q24)/T24</f>
        <v>2960717.3388888896</v>
      </c>
      <c r="T24" s="18">
        <v>18</v>
      </c>
      <c r="U24" s="4"/>
      <c r="V24" s="135"/>
      <c r="W24" s="105">
        <v>-1696000</v>
      </c>
      <c r="X24" s="167"/>
      <c r="Y24" s="156">
        <f t="shared" si="7"/>
        <v>-1697300</v>
      </c>
      <c r="Z24" s="217"/>
      <c r="AA24" s="92"/>
      <c r="AD24" s="1"/>
      <c r="AE24" s="1"/>
    </row>
    <row r="25" spans="2:31">
      <c r="B25" s="116">
        <v>44199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2653777.4789473694</v>
      </c>
      <c r="P25" s="7">
        <f t="shared" si="4"/>
        <v>50421772.100000016</v>
      </c>
      <c r="Q25" s="164">
        <f t="shared" si="9"/>
        <v>2805405.45</v>
      </c>
      <c r="R25" s="29">
        <f t="shared" si="3"/>
        <v>2028.6250405014084</v>
      </c>
      <c r="S25" s="5">
        <f>SUM($Q$7:$Q25)/T25-1</f>
        <v>2952542.0289473697</v>
      </c>
      <c r="T25" s="18">
        <v>19</v>
      </c>
      <c r="U25" s="4"/>
      <c r="V25" s="131"/>
      <c r="W25" s="105">
        <v>-1696000</v>
      </c>
      <c r="X25" s="167"/>
      <c r="Y25" s="156">
        <f t="shared" si="7"/>
        <v>-1697300</v>
      </c>
      <c r="Z25" s="217"/>
      <c r="AA25" s="92"/>
      <c r="AD25" s="1"/>
      <c r="AE25" s="1"/>
    </row>
    <row r="26" spans="2:31">
      <c r="B26" s="116">
        <v>44200</v>
      </c>
      <c r="C26" s="14" t="str">
        <f t="shared" si="0"/>
        <v/>
      </c>
      <c r="D26" s="87"/>
      <c r="E26" s="87">
        <v>0</v>
      </c>
      <c r="F26" s="23">
        <v>-554273</v>
      </c>
      <c r="G26" s="26">
        <f>D26+E26+F26-E22-F22</f>
        <v>129438</v>
      </c>
      <c r="H26" s="132">
        <v>12300</v>
      </c>
      <c r="I26" s="63">
        <v>48400</v>
      </c>
      <c r="J26" s="63">
        <v>900</v>
      </c>
      <c r="K26" s="170">
        <f>+H26+I26+J26</f>
        <v>61600</v>
      </c>
      <c r="L26" s="171">
        <v>45</v>
      </c>
      <c r="M26" s="153"/>
      <c r="N26" s="149">
        <f>L26+K26+G26+M26-138</f>
        <v>190945</v>
      </c>
      <c r="O26" s="67">
        <f t="shared" si="2"/>
        <v>2663628.8275000011</v>
      </c>
      <c r="P26" s="7">
        <f t="shared" si="4"/>
        <v>53272576.550000019</v>
      </c>
      <c r="Q26" s="164">
        <f>Q25+N26-2</f>
        <v>2996348.45</v>
      </c>
      <c r="R26" s="29">
        <f t="shared" si="3"/>
        <v>2030.1299263452986</v>
      </c>
      <c r="S26" s="5">
        <f>SUM($Q$7:$Q26)/T26-1</f>
        <v>2954732.3000000012</v>
      </c>
      <c r="T26" s="18">
        <v>20</v>
      </c>
      <c r="U26" s="138">
        <f>B26</f>
        <v>44200</v>
      </c>
      <c r="V26" s="131">
        <v>1835.2</v>
      </c>
      <c r="W26" s="105">
        <v>-1757643</v>
      </c>
      <c r="X26" s="167">
        <f>AVERAGE(W26:W34)</f>
        <v>-1825873</v>
      </c>
      <c r="Y26" s="156">
        <f>Y25-K26-L26+2</f>
        <v>-1758943</v>
      </c>
      <c r="Z26" s="217">
        <f>AVERAGE(Y26:Y34)</f>
        <v>-1826861.888888889</v>
      </c>
      <c r="AC26" s="92"/>
      <c r="AD26" s="1"/>
      <c r="AE26" s="1"/>
    </row>
    <row r="27" spans="2:31">
      <c r="B27" s="116">
        <v>44201</v>
      </c>
      <c r="C27" s="14" t="str">
        <f t="shared" si="0"/>
        <v/>
      </c>
      <c r="D27" s="87"/>
      <c r="E27" s="87">
        <v>0</v>
      </c>
      <c r="F27" s="23">
        <v>-554005</v>
      </c>
      <c r="G27" s="26">
        <f>D27+E27+F27-E26-F26</f>
        <v>268</v>
      </c>
      <c r="H27" s="132">
        <v>300</v>
      </c>
      <c r="I27" s="63">
        <v>30700</v>
      </c>
      <c r="J27" s="63">
        <v>900</v>
      </c>
      <c r="K27" s="170">
        <f t="shared" si="8"/>
        <v>31900</v>
      </c>
      <c r="L27" s="171">
        <v>22</v>
      </c>
      <c r="M27" s="153"/>
      <c r="N27" s="149">
        <f>L27+K27+G27+M27-38</f>
        <v>32152</v>
      </c>
      <c r="O27" s="67">
        <f t="shared" si="2"/>
        <v>2674073.0476190485</v>
      </c>
      <c r="P27" s="7">
        <f t="shared" si="4"/>
        <v>56155534.000000022</v>
      </c>
      <c r="Q27" s="164">
        <f>Q26+N27+1</f>
        <v>3028501.45</v>
      </c>
      <c r="R27" s="29">
        <f t="shared" si="3"/>
        <v>2032.5434707357363</v>
      </c>
      <c r="S27" s="5">
        <f>SUM($Q$7:$Q27)/T27-1</f>
        <v>2958245.0690476201</v>
      </c>
      <c r="T27" s="18">
        <v>21</v>
      </c>
      <c r="U27" s="138">
        <f>B28+6</f>
        <v>44208</v>
      </c>
      <c r="V27" s="159"/>
      <c r="W27" s="105">
        <v>-1789566</v>
      </c>
      <c r="X27" s="167"/>
      <c r="Y27" s="156">
        <f>Y26-K27-L27-1</f>
        <v>-1790866</v>
      </c>
      <c r="Z27" s="217"/>
      <c r="AA27" s="92"/>
      <c r="AD27" s="1"/>
      <c r="AE27" s="1"/>
    </row>
    <row r="28" spans="2:31">
      <c r="B28" s="116">
        <v>44202</v>
      </c>
      <c r="C28" s="14" t="str">
        <f t="shared" si="0"/>
        <v/>
      </c>
      <c r="D28" s="87">
        <f>180-468</f>
        <v>-288</v>
      </c>
      <c r="E28" s="87">
        <v>2</v>
      </c>
      <c r="F28" s="23">
        <v>-547680</v>
      </c>
      <c r="G28" s="26">
        <f>D28+E28+F28-E27-F27</f>
        <v>6039</v>
      </c>
      <c r="H28" s="132">
        <v>300</v>
      </c>
      <c r="I28" s="63">
        <v>22000</v>
      </c>
      <c r="J28" s="63">
        <v>900</v>
      </c>
      <c r="K28" s="170">
        <f t="shared" si="8"/>
        <v>23200</v>
      </c>
      <c r="L28" s="171">
        <v>-30</v>
      </c>
      <c r="M28" s="153"/>
      <c r="N28" s="149">
        <f>L28+K28+G28+M28</f>
        <v>29209</v>
      </c>
      <c r="O28" s="67">
        <f t="shared" si="2"/>
        <v>2684895.5204545464</v>
      </c>
      <c r="P28" s="7">
        <f t="shared" si="4"/>
        <v>59067701.450000025</v>
      </c>
      <c r="Q28" s="164">
        <f>Q27+N28+1</f>
        <v>3057711.45</v>
      </c>
      <c r="R28" s="29">
        <f t="shared" si="3"/>
        <v>2035.6498534651198</v>
      </c>
      <c r="S28" s="5">
        <f>SUM($Q$7:$Q28)/T28-1</f>
        <v>2962766.2227272741</v>
      </c>
      <c r="T28" s="18">
        <v>22</v>
      </c>
      <c r="U28" s="4"/>
      <c r="V28" s="131"/>
      <c r="W28" s="105">
        <v>-1812736</v>
      </c>
      <c r="X28" s="167"/>
      <c r="Y28" s="156">
        <f>Y27-K28-L28</f>
        <v>-1814036</v>
      </c>
      <c r="Z28" s="217"/>
      <c r="AA28" s="92"/>
      <c r="AD28" s="1"/>
      <c r="AE28" s="1"/>
    </row>
    <row r="29" spans="2:31">
      <c r="B29" s="116">
        <v>44203</v>
      </c>
      <c r="C29" s="14" t="str">
        <f t="shared" si="0"/>
        <v/>
      </c>
      <c r="D29" s="87"/>
      <c r="E29" s="87">
        <v>0</v>
      </c>
      <c r="F29" s="23">
        <v>-543531</v>
      </c>
      <c r="G29" s="26">
        <f>D29+E29+F29-E28-F28</f>
        <v>4147</v>
      </c>
      <c r="H29" s="132">
        <v>300</v>
      </c>
      <c r="I29" s="63">
        <v>5400</v>
      </c>
      <c r="J29" s="63">
        <v>800</v>
      </c>
      <c r="K29" s="170">
        <f t="shared" si="8"/>
        <v>6500</v>
      </c>
      <c r="L29" s="171">
        <v>43</v>
      </c>
      <c r="M29" s="153"/>
      <c r="N29" s="149">
        <f>L29+K29+G29+M29</f>
        <v>10690</v>
      </c>
      <c r="O29" s="67">
        <f t="shared" si="2"/>
        <v>2695241.8217391316</v>
      </c>
      <c r="P29" s="7">
        <f t="shared" si="4"/>
        <v>61990561.900000028</v>
      </c>
      <c r="Q29" s="164">
        <f>Q28+N29+3</f>
        <v>3068404.45</v>
      </c>
      <c r="R29" s="29">
        <f t="shared" si="3"/>
        <v>2038.8055472243273</v>
      </c>
      <c r="S29" s="5">
        <f>SUM($Q$7:$Q29)/T29-1</f>
        <v>2967359.1456521749</v>
      </c>
      <c r="T29" s="18">
        <v>23</v>
      </c>
      <c r="U29" s="4"/>
      <c r="V29" s="131"/>
      <c r="W29" s="105">
        <v>-1819281</v>
      </c>
      <c r="X29" s="167"/>
      <c r="Y29" s="156">
        <f>Y28-K29-L29-2</f>
        <v>-1820581</v>
      </c>
      <c r="Z29" s="217"/>
      <c r="AA29" s="92"/>
      <c r="AD29" s="1"/>
      <c r="AE29" s="1"/>
    </row>
    <row r="30" spans="2:31">
      <c r="B30" s="116">
        <v>44204</v>
      </c>
      <c r="C30" s="14" t="str">
        <f t="shared" si="0"/>
        <v/>
      </c>
      <c r="D30" s="87"/>
      <c r="E30" s="87">
        <v>0</v>
      </c>
      <c r="F30" s="23">
        <v>-547349</v>
      </c>
      <c r="G30" s="26">
        <f>D30+E30+F30-E29-F29</f>
        <v>-3818</v>
      </c>
      <c r="H30" s="132">
        <v>300</v>
      </c>
      <c r="I30" s="25">
        <v>24200</v>
      </c>
      <c r="J30" s="25">
        <v>800</v>
      </c>
      <c r="K30" s="170">
        <f t="shared" si="8"/>
        <v>25300</v>
      </c>
      <c r="L30" s="171">
        <v>-38</v>
      </c>
      <c r="M30" s="153"/>
      <c r="N30" s="149">
        <f>L30+K30+G30+M30</f>
        <v>21444</v>
      </c>
      <c r="O30" s="67">
        <f t="shared" si="2"/>
        <v>2705619.4312500013</v>
      </c>
      <c r="P30" s="7">
        <f t="shared" si="4"/>
        <v>64934866.350000031</v>
      </c>
      <c r="Q30" s="164">
        <f t="shared" si="9"/>
        <v>3089848.45</v>
      </c>
      <c r="R30" s="29">
        <f t="shared" si="3"/>
        <v>2042.3169797449575</v>
      </c>
      <c r="S30" s="5">
        <f>SUM($Q$7:$Q30)/T30+6</f>
        <v>2972469.8250000011</v>
      </c>
      <c r="T30" s="18">
        <v>24</v>
      </c>
      <c r="U30" s="4"/>
      <c r="V30" s="131"/>
      <c r="W30" s="105">
        <v>-1844543</v>
      </c>
      <c r="X30" s="167"/>
      <c r="Y30" s="156">
        <f>Y29-K30-L30</f>
        <v>-1845843</v>
      </c>
      <c r="Z30" s="217"/>
      <c r="AA30" s="92"/>
      <c r="AD30" s="1"/>
      <c r="AE30" s="1"/>
    </row>
    <row r="31" spans="2:31">
      <c r="B31" s="116">
        <v>44205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2715166.8320000009</v>
      </c>
      <c r="P31" s="7">
        <f t="shared" si="4"/>
        <v>67879170.800000027</v>
      </c>
      <c r="Q31" s="164">
        <f t="shared" si="9"/>
        <v>3089848.45</v>
      </c>
      <c r="R31" s="29">
        <f t="shared" si="3"/>
        <v>2045.5403245753871</v>
      </c>
      <c r="S31" s="5">
        <f>SUM($Q$7:$Q31)/T31+2</f>
        <v>2977161.2100000014</v>
      </c>
      <c r="T31" s="18">
        <v>25</v>
      </c>
      <c r="U31" s="4"/>
      <c r="V31" s="137"/>
      <c r="W31" s="105">
        <v>-1844543</v>
      </c>
      <c r="X31" s="167"/>
      <c r="Y31" s="156">
        <f t="shared" si="7"/>
        <v>-1845843</v>
      </c>
      <c r="Z31" s="217"/>
      <c r="AA31" s="92"/>
      <c r="AB31" s="92"/>
      <c r="AD31" s="1"/>
      <c r="AE31" s="1"/>
    </row>
    <row r="32" spans="2:31">
      <c r="B32" s="116">
        <v>44206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2723979.8173076934</v>
      </c>
      <c r="P32" s="7">
        <f t="shared" si="4"/>
        <v>70823475.25000003</v>
      </c>
      <c r="Q32" s="164">
        <f t="shared" si="9"/>
        <v>3089848.45</v>
      </c>
      <c r="R32" s="29">
        <f t="shared" si="3"/>
        <v>2048.5127600852406</v>
      </c>
      <c r="S32" s="5">
        <f>SUM($Q$7:$Q32)/T32-6</f>
        <v>2981487.4115384626</v>
      </c>
      <c r="T32" s="18">
        <v>26</v>
      </c>
      <c r="U32" s="27"/>
      <c r="V32" s="137"/>
      <c r="W32" s="105">
        <v>-1844543</v>
      </c>
      <c r="X32" s="167"/>
      <c r="Y32" s="156">
        <f t="shared" si="7"/>
        <v>-1845843</v>
      </c>
      <c r="Z32" s="217"/>
      <c r="AD32" s="1"/>
      <c r="AE32" s="1"/>
    </row>
    <row r="33" spans="2:31">
      <c r="B33" s="116">
        <v>44207</v>
      </c>
      <c r="C33" s="14" t="str">
        <f t="shared" si="0"/>
        <v/>
      </c>
      <c r="D33" s="87"/>
      <c r="E33" s="87">
        <v>0</v>
      </c>
      <c r="F33" s="23">
        <v>-537296</v>
      </c>
      <c r="G33" s="26">
        <f>D33+E33+F33-E30-F30</f>
        <v>10053</v>
      </c>
      <c r="H33" s="132">
        <v>300</v>
      </c>
      <c r="I33" s="25">
        <v>16000</v>
      </c>
      <c r="J33" s="25">
        <v>600</v>
      </c>
      <c r="K33" s="170">
        <f t="shared" si="8"/>
        <v>16900</v>
      </c>
      <c r="L33" s="171">
        <v>14</v>
      </c>
      <c r="M33" s="153"/>
      <c r="N33" s="149">
        <f>L33+K33+G33+M33+1401</f>
        <v>28368</v>
      </c>
      <c r="O33" s="67">
        <f t="shared" si="2"/>
        <v>2733190.6185185197</v>
      </c>
      <c r="P33" s="7">
        <f t="shared" si="4"/>
        <v>73796146.700000033</v>
      </c>
      <c r="Q33" s="164">
        <f>Q32+N33-1</f>
        <v>3118215.45</v>
      </c>
      <c r="R33" s="29">
        <f t="shared" si="3"/>
        <v>2051.9954039608242</v>
      </c>
      <c r="S33" s="5">
        <f>SUM($Q$7:$Q33)/T33-1</f>
        <v>2986556.1907407423</v>
      </c>
      <c r="T33" s="18">
        <v>27</v>
      </c>
      <c r="U33" s="138">
        <f>B33</f>
        <v>44207</v>
      </c>
      <c r="V33" s="131">
        <v>1855.7</v>
      </c>
      <c r="W33" s="105">
        <v>-1862857</v>
      </c>
      <c r="X33" s="167">
        <f>AVERAGE(W33:W41)</f>
        <v>-1881981.4444444445</v>
      </c>
      <c r="Y33" s="156">
        <f>Y32-K33-L33</f>
        <v>-1862757</v>
      </c>
      <c r="Z33" s="217">
        <f>AVERAGE(Y33:Y41)</f>
        <v>-1881814.7777777778</v>
      </c>
      <c r="AD33" s="1"/>
      <c r="AE33" s="1"/>
    </row>
    <row r="34" spans="2:31">
      <c r="B34" s="116">
        <v>44208</v>
      </c>
      <c r="C34" s="14" t="str">
        <f t="shared" si="0"/>
        <v/>
      </c>
      <c r="D34" s="87"/>
      <c r="E34" s="87">
        <v>0</v>
      </c>
      <c r="F34" s="23">
        <v>-541983</v>
      </c>
      <c r="G34" s="26">
        <f>D34+E34+F34-E33-F33</f>
        <v>-4687</v>
      </c>
      <c r="H34" s="132">
        <v>300</v>
      </c>
      <c r="I34" s="25">
        <v>-6600</v>
      </c>
      <c r="J34" s="25">
        <v>600</v>
      </c>
      <c r="K34" s="170">
        <f t="shared" si="8"/>
        <v>-5700</v>
      </c>
      <c r="L34" s="171">
        <v>-12</v>
      </c>
      <c r="M34" s="153"/>
      <c r="N34" s="149">
        <f>L34+K34+G34+M34</f>
        <v>-10399</v>
      </c>
      <c r="O34" s="67">
        <f t="shared" si="2"/>
        <v>2741372.1125000012</v>
      </c>
      <c r="P34" s="7">
        <f t="shared" si="4"/>
        <v>76758419.150000036</v>
      </c>
      <c r="Q34" s="164">
        <f t="shared" si="9"/>
        <v>3107816.45</v>
      </c>
      <c r="R34" s="29">
        <f t="shared" si="3"/>
        <v>2054.9716089783365</v>
      </c>
      <c r="S34" s="5">
        <f>SUM($Q$7:$Q34)/T34</f>
        <v>2990887.8785714298</v>
      </c>
      <c r="T34" s="18">
        <v>28</v>
      </c>
      <c r="U34" s="138">
        <f>B33+8</f>
        <v>44215</v>
      </c>
      <c r="V34" s="131"/>
      <c r="W34" s="105">
        <v>-1857145</v>
      </c>
      <c r="X34" s="167"/>
      <c r="Y34" s="156">
        <f>Y33-K34-L34</f>
        <v>-1857045</v>
      </c>
      <c r="Z34" s="217"/>
      <c r="AA34" s="92"/>
      <c r="AD34" s="1"/>
      <c r="AE34" s="1"/>
    </row>
    <row r="35" spans="2:31">
      <c r="B35" s="116">
        <v>44209</v>
      </c>
      <c r="C35" s="14" t="str">
        <f t="shared" si="0"/>
        <v/>
      </c>
      <c r="D35" s="87">
        <f>-180+521</f>
        <v>341</v>
      </c>
      <c r="E35" s="87">
        <v>0</v>
      </c>
      <c r="F35" s="23">
        <v>-545346</v>
      </c>
      <c r="G35" s="26">
        <f>D35+E35+F35-E34-F34</f>
        <v>-3022</v>
      </c>
      <c r="H35" s="132">
        <v>300</v>
      </c>
      <c r="I35" s="25">
        <v>11200</v>
      </c>
      <c r="J35" s="25">
        <v>500</v>
      </c>
      <c r="K35" s="170">
        <f t="shared" si="8"/>
        <v>12000</v>
      </c>
      <c r="L35" s="171">
        <v>-40</v>
      </c>
      <c r="M35" s="153"/>
      <c r="N35" s="149">
        <f>L35+K35+G35+M35</f>
        <v>8938</v>
      </c>
      <c r="O35" s="67">
        <f t="shared" si="2"/>
        <v>2749297.6068965532</v>
      </c>
      <c r="P35" s="7">
        <f t="shared" si="4"/>
        <v>79729630.600000039</v>
      </c>
      <c r="Q35" s="164">
        <f>Q34+N35+1</f>
        <v>3116755.45</v>
      </c>
      <c r="R35" s="29">
        <f t="shared" si="3"/>
        <v>2057.9537044846738</v>
      </c>
      <c r="S35" s="5">
        <f>SUM($Q$7:$Q35)/T35</f>
        <v>2995228.1396551738</v>
      </c>
      <c r="T35" s="18">
        <v>29</v>
      </c>
      <c r="U35" s="4"/>
      <c r="V35" s="131"/>
      <c r="W35" s="105">
        <v>-1869106</v>
      </c>
      <c r="X35" s="167"/>
      <c r="Y35" s="156">
        <f>Y34-K35-L35-1</f>
        <v>-1869006</v>
      </c>
      <c r="Z35" s="217"/>
      <c r="AA35" s="92"/>
      <c r="AD35" s="1"/>
      <c r="AE35" s="1"/>
    </row>
    <row r="36" spans="2:31">
      <c r="B36" s="116">
        <v>44210</v>
      </c>
      <c r="C36" s="14" t="str">
        <f t="shared" si="0"/>
        <v/>
      </c>
      <c r="D36" s="87"/>
      <c r="E36" s="87">
        <v>0</v>
      </c>
      <c r="F36" s="23">
        <v>-557457</v>
      </c>
      <c r="G36" s="26">
        <f>D36+E36+F36-E35-F35</f>
        <v>-12111</v>
      </c>
      <c r="H36" s="132">
        <v>300</v>
      </c>
      <c r="I36" s="25">
        <v>-100</v>
      </c>
      <c r="J36" s="25">
        <v>500</v>
      </c>
      <c r="K36" s="170">
        <f t="shared" si="8"/>
        <v>700</v>
      </c>
      <c r="L36" s="171">
        <v>-5</v>
      </c>
      <c r="M36" s="153"/>
      <c r="N36" s="149">
        <f t="shared" si="6"/>
        <v>-11416</v>
      </c>
      <c r="O36" s="67">
        <f t="shared" si="2"/>
        <v>2756314.101666668</v>
      </c>
      <c r="P36" s="7">
        <f t="shared" si="4"/>
        <v>82689423.050000042</v>
      </c>
      <c r="Q36" s="164">
        <f>Q35+N36-3</f>
        <v>3105336.45</v>
      </c>
      <c r="R36" s="29">
        <f t="shared" si="3"/>
        <v>2060.4754690448717</v>
      </c>
      <c r="S36" s="5">
        <f>SUM($Q$7:$Q36)/T36</f>
        <v>2998898.4166666684</v>
      </c>
      <c r="T36" s="18">
        <v>30</v>
      </c>
      <c r="U36" s="4"/>
      <c r="V36" s="136"/>
      <c r="W36" s="105">
        <v>-1869898</v>
      </c>
      <c r="X36" s="167"/>
      <c r="Y36" s="156">
        <f>Y35-K36-L36+3</f>
        <v>-1869698</v>
      </c>
      <c r="Z36" s="217"/>
      <c r="AD36" s="1"/>
      <c r="AE36" s="1"/>
    </row>
    <row r="37" spans="2:31">
      <c r="B37" s="116">
        <v>44211</v>
      </c>
      <c r="C37" s="14" t="str">
        <f t="shared" si="0"/>
        <v/>
      </c>
      <c r="D37" s="87"/>
      <c r="E37" s="87">
        <v>0</v>
      </c>
      <c r="F37" s="23">
        <v>-558496</v>
      </c>
      <c r="G37" s="26">
        <f>D37+E37+F37-E36-F36</f>
        <v>-1039</v>
      </c>
      <c r="H37" s="132">
        <v>2800</v>
      </c>
      <c r="I37" s="25">
        <v>22300</v>
      </c>
      <c r="J37" s="25">
        <v>500</v>
      </c>
      <c r="K37" s="170">
        <f t="shared" si="8"/>
        <v>25600</v>
      </c>
      <c r="L37" s="171">
        <v>28</v>
      </c>
      <c r="M37" s="153"/>
      <c r="N37" s="149">
        <f t="shared" si="6"/>
        <v>24589</v>
      </c>
      <c r="O37" s="67">
        <f t="shared" si="2"/>
        <v>2763671.0161290336</v>
      </c>
      <c r="P37" s="7">
        <f t="shared" si="4"/>
        <v>85673801.500000045</v>
      </c>
      <c r="Q37" s="164">
        <f>Q36+N37-3</f>
        <v>3129922.45</v>
      </c>
      <c r="R37" s="29">
        <f t="shared" si="3"/>
        <v>2063.3801451018926</v>
      </c>
      <c r="S37" s="5">
        <f>SUM($Q$7:$Q37)/T37+1</f>
        <v>3003125.9983870983</v>
      </c>
      <c r="T37" s="18">
        <v>31</v>
      </c>
      <c r="U37" s="27"/>
      <c r="V37" s="137"/>
      <c r="W37" s="105">
        <v>-1895523</v>
      </c>
      <c r="X37" s="167"/>
      <c r="Y37" s="156">
        <f>Y36-K37-L37+3</f>
        <v>-1895323</v>
      </c>
      <c r="Z37" s="217"/>
      <c r="AA37" s="92"/>
      <c r="AD37" s="1"/>
      <c r="AE37" s="1"/>
    </row>
    <row r="38" spans="2:31">
      <c r="B38" s="116">
        <v>44212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2770568.1234375015</v>
      </c>
      <c r="P38" s="7">
        <f t="shared" si="4"/>
        <v>88658179.950000048</v>
      </c>
      <c r="Q38" s="164">
        <f t="shared" si="9"/>
        <v>3129922.45</v>
      </c>
      <c r="R38" s="29">
        <f t="shared" si="3"/>
        <v>2066.101947692795</v>
      </c>
      <c r="S38" s="5">
        <f>SUM($Q$7:$Q38)/T38</f>
        <v>3007087.4187500016</v>
      </c>
      <c r="T38" s="18">
        <v>32</v>
      </c>
      <c r="U38" s="27"/>
      <c r="V38" s="137"/>
      <c r="W38" s="105">
        <v>-1895523</v>
      </c>
      <c r="X38" s="167"/>
      <c r="Y38" s="156">
        <f t="shared" si="7"/>
        <v>-1895323</v>
      </c>
      <c r="Z38" s="217"/>
      <c r="AD38" s="1"/>
      <c r="AE38" s="1"/>
    </row>
    <row r="39" spans="2:31">
      <c r="B39" s="116">
        <v>44213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2777047.224242426</v>
      </c>
      <c r="P39" s="7">
        <f t="shared" si="4"/>
        <v>91642558.400000051</v>
      </c>
      <c r="Q39" s="164">
        <f t="shared" si="9"/>
        <v>3129922.45</v>
      </c>
      <c r="R39" s="29">
        <f t="shared" si="3"/>
        <v>2068.6587509098581</v>
      </c>
      <c r="S39" s="5">
        <f>SUM($Q$7:$Q39)/T39-1</f>
        <v>3010808.6924242442</v>
      </c>
      <c r="T39" s="18">
        <v>33</v>
      </c>
      <c r="U39" s="27"/>
      <c r="V39" s="137"/>
      <c r="W39" s="105">
        <v>-1895523</v>
      </c>
      <c r="X39" s="167"/>
      <c r="Y39" s="156">
        <f t="shared" si="7"/>
        <v>-1895323</v>
      </c>
      <c r="Z39" s="217"/>
      <c r="AD39" s="1"/>
      <c r="AE39" s="1"/>
    </row>
    <row r="40" spans="2:31">
      <c r="B40" s="116">
        <v>44214</v>
      </c>
      <c r="C40" s="14" t="str">
        <f t="shared" si="0"/>
        <v/>
      </c>
      <c r="D40" s="87"/>
      <c r="E40" s="87">
        <v>0</v>
      </c>
      <c r="F40" s="23">
        <v>-559140</v>
      </c>
      <c r="G40" s="26">
        <f>D40+E40+F40-E37-F37</f>
        <v>-644</v>
      </c>
      <c r="H40" s="132">
        <v>300</v>
      </c>
      <c r="I40" s="25">
        <v>-12500</v>
      </c>
      <c r="J40" s="25">
        <v>200</v>
      </c>
      <c r="K40" s="170">
        <f t="shared" si="8"/>
        <v>-12000</v>
      </c>
      <c r="L40" s="171">
        <v>-33</v>
      </c>
      <c r="M40" s="153"/>
      <c r="N40" s="149">
        <f t="shared" si="6"/>
        <v>-12677</v>
      </c>
      <c r="O40" s="67">
        <f t="shared" si="2"/>
        <v>2782772.3191176485</v>
      </c>
      <c r="P40" s="7">
        <f t="shared" si="4"/>
        <v>94614258.850000054</v>
      </c>
      <c r="Q40" s="164">
        <f>Q39+N40-1</f>
        <v>3117244.45</v>
      </c>
      <c r="R40" s="29">
        <f t="shared" si="3"/>
        <v>2070.8102886210286</v>
      </c>
      <c r="S40" s="5">
        <f>SUM($Q$7:$Q40)/T40</f>
        <v>3013940.12647059</v>
      </c>
      <c r="T40" s="18">
        <v>34</v>
      </c>
      <c r="U40" s="138">
        <f>B40</f>
        <v>44214</v>
      </c>
      <c r="V40" s="131">
        <v>1833.9</v>
      </c>
      <c r="W40" s="105">
        <v>-1883489</v>
      </c>
      <c r="X40" s="167">
        <f>AVERAGE(W40:W48)</f>
        <v>-1899971.4444444445</v>
      </c>
      <c r="Y40" s="156">
        <f>Y39-K40-L40+1</f>
        <v>-1883289</v>
      </c>
      <c r="Z40" s="217">
        <f>AVERAGE(Y40:Y48)</f>
        <v>-1899771.4444444445</v>
      </c>
      <c r="AD40" s="1"/>
      <c r="AE40" s="1"/>
    </row>
    <row r="41" spans="2:31">
      <c r="B41" s="116">
        <v>44215</v>
      </c>
      <c r="C41" s="14" t="str">
        <f t="shared" si="0"/>
        <v/>
      </c>
      <c r="D41" s="87"/>
      <c r="E41" s="87">
        <v>5</v>
      </c>
      <c r="F41" s="23">
        <v>-572853</v>
      </c>
      <c r="G41" s="26">
        <f>D41+E41+F41-E40-F40</f>
        <v>-13708</v>
      </c>
      <c r="H41" s="132">
        <v>-500</v>
      </c>
      <c r="I41" s="25">
        <v>25700</v>
      </c>
      <c r="J41" s="25">
        <v>100</v>
      </c>
      <c r="K41" s="170">
        <f t="shared" si="8"/>
        <v>25300</v>
      </c>
      <c r="L41" s="171">
        <v>-19</v>
      </c>
      <c r="M41" s="153"/>
      <c r="N41" s="149">
        <f t="shared" si="6"/>
        <v>11573</v>
      </c>
      <c r="O41" s="67">
        <f t="shared" si="2"/>
        <v>2788500.8942857161</v>
      </c>
      <c r="P41" s="7">
        <f t="shared" si="4"/>
        <v>97597531.300000057</v>
      </c>
      <c r="Q41" s="164">
        <f>Q40+N41-1</f>
        <v>3128816.45</v>
      </c>
      <c r="R41" s="29">
        <f t="shared" si="3"/>
        <v>2073.0681492489275</v>
      </c>
      <c r="S41" s="5">
        <f>SUM($Q$7:$Q41)/T41+4</f>
        <v>3017226.3071428589</v>
      </c>
      <c r="T41" s="18">
        <v>35</v>
      </c>
      <c r="U41" s="138">
        <f>B40+8</f>
        <v>44222</v>
      </c>
      <c r="V41" s="137"/>
      <c r="W41" s="105">
        <v>-1908769</v>
      </c>
      <c r="X41" s="167"/>
      <c r="Y41" s="156">
        <f t="shared" ref="Y41:Y47" si="10">Y40-K41-L41+1</f>
        <v>-1908569</v>
      </c>
      <c r="Z41" s="217"/>
      <c r="AD41" s="1"/>
      <c r="AE41" s="1"/>
    </row>
    <row r="42" spans="2:31">
      <c r="B42" s="116">
        <v>44216</v>
      </c>
      <c r="C42" s="14" t="str">
        <f t="shared" si="0"/>
        <v/>
      </c>
      <c r="D42" s="87">
        <f>-521+234</f>
        <v>-287</v>
      </c>
      <c r="E42" s="87">
        <v>0</v>
      </c>
      <c r="F42" s="23">
        <v>-565571</v>
      </c>
      <c r="G42" s="26">
        <f t="shared" ref="G42:G48" si="11">D42+E42+F42-E41-F41</f>
        <v>6990</v>
      </c>
      <c r="H42" s="132">
        <v>-22200</v>
      </c>
      <c r="I42" s="25">
        <v>3000</v>
      </c>
      <c r="J42" s="25">
        <v>100</v>
      </c>
      <c r="K42" s="170">
        <f t="shared" si="8"/>
        <v>-19100</v>
      </c>
      <c r="L42" s="171">
        <v>50</v>
      </c>
      <c r="M42" s="153"/>
      <c r="N42" s="149">
        <f t="shared" si="6"/>
        <v>-12060</v>
      </c>
      <c r="O42" s="67">
        <f t="shared" si="2"/>
        <v>2793576.1875000019</v>
      </c>
      <c r="P42" s="7">
        <f t="shared" si="4"/>
        <v>100568742.75000006</v>
      </c>
      <c r="Q42" s="164">
        <f>Q41+N42-1</f>
        <v>3116755.45</v>
      </c>
      <c r="R42" s="29">
        <f t="shared" si="3"/>
        <v>2074.9677875190105</v>
      </c>
      <c r="S42" s="5">
        <f>SUM($Q$7:$Q42)/T42+4</f>
        <v>3019991.1166666686</v>
      </c>
      <c r="T42" s="18">
        <v>36</v>
      </c>
      <c r="U42" s="27"/>
      <c r="V42" s="137"/>
      <c r="W42" s="105">
        <v>-1889718</v>
      </c>
      <c r="X42" s="167"/>
      <c r="Y42" s="156">
        <f t="shared" si="10"/>
        <v>-1889518</v>
      </c>
      <c r="Z42" s="217"/>
      <c r="AD42" s="1"/>
      <c r="AE42" s="1"/>
    </row>
    <row r="43" spans="2:31">
      <c r="B43" s="116">
        <v>44217</v>
      </c>
      <c r="C43" s="14" t="str">
        <f t="shared" si="0"/>
        <v/>
      </c>
      <c r="D43" s="87"/>
      <c r="E43" s="87">
        <v>0</v>
      </c>
      <c r="F43" s="23">
        <v>-568784</v>
      </c>
      <c r="G43" s="26">
        <f t="shared" si="11"/>
        <v>-3213</v>
      </c>
      <c r="H43" s="132">
        <v>-12200</v>
      </c>
      <c r="I43" s="25">
        <v>25100</v>
      </c>
      <c r="J43" s="25">
        <v>100</v>
      </c>
      <c r="K43" s="170">
        <f t="shared" si="8"/>
        <v>13000</v>
      </c>
      <c r="L43" s="171">
        <v>-42</v>
      </c>
      <c r="M43" s="153"/>
      <c r="N43" s="149">
        <f t="shared" si="6"/>
        <v>9745</v>
      </c>
      <c r="O43" s="67">
        <f t="shared" si="2"/>
        <v>2798640.4918918936</v>
      </c>
      <c r="P43" s="7">
        <f t="shared" si="4"/>
        <v>103549698.20000006</v>
      </c>
      <c r="Q43" s="164">
        <f>Q42+N43-1</f>
        <v>3126499.45</v>
      </c>
      <c r="R43" s="29">
        <f t="shared" si="3"/>
        <v>2076.945685413607</v>
      </c>
      <c r="S43" s="5">
        <f>SUM($Q$7:$Q43)/T43+4</f>
        <v>3022869.8283783803</v>
      </c>
      <c r="T43" s="18">
        <v>37</v>
      </c>
      <c r="U43" s="27"/>
      <c r="V43" s="137"/>
      <c r="W43" s="105">
        <v>-1902675</v>
      </c>
      <c r="X43" s="167"/>
      <c r="Y43" s="156">
        <f t="shared" si="10"/>
        <v>-1902475</v>
      </c>
      <c r="Z43" s="217"/>
      <c r="AD43" s="1"/>
      <c r="AE43" s="1"/>
    </row>
    <row r="44" spans="2:31">
      <c r="B44" s="116">
        <v>44218</v>
      </c>
      <c r="C44" s="14" t="str">
        <f t="shared" si="0"/>
        <v/>
      </c>
      <c r="D44" s="87"/>
      <c r="E44" s="87">
        <v>0</v>
      </c>
      <c r="F44" s="23">
        <v>-620681</v>
      </c>
      <c r="G44" s="26">
        <f t="shared" si="11"/>
        <v>-51897</v>
      </c>
      <c r="H44" s="132">
        <v>2000</v>
      </c>
      <c r="I44" s="25">
        <v>5100</v>
      </c>
      <c r="J44" s="25">
        <v>100</v>
      </c>
      <c r="K44" s="170">
        <f t="shared" si="8"/>
        <v>7200</v>
      </c>
      <c r="L44" s="171">
        <v>-11</v>
      </c>
      <c r="M44" s="153"/>
      <c r="N44" s="149">
        <f t="shared" si="6"/>
        <v>-44708</v>
      </c>
      <c r="O44" s="67">
        <f t="shared" si="2"/>
        <v>2802261.6750000017</v>
      </c>
      <c r="P44" s="7">
        <f t="shared" si="4"/>
        <v>106485943.65000007</v>
      </c>
      <c r="Q44" s="164">
        <f>Q43+N44-2</f>
        <v>3081789.45</v>
      </c>
      <c r="R44" s="29">
        <f t="shared" si="3"/>
        <v>2078.0110825592269</v>
      </c>
      <c r="S44" s="5">
        <f>SUM($Q$7:$Q44)/T44+4</f>
        <v>3024420.4500000016</v>
      </c>
      <c r="T44" s="18">
        <v>38</v>
      </c>
      <c r="U44" s="27"/>
      <c r="V44" s="137"/>
      <c r="W44" s="105">
        <v>-1909862</v>
      </c>
      <c r="X44" s="167"/>
      <c r="Y44" s="156">
        <f>Y43-K44-L44+2</f>
        <v>-1909662</v>
      </c>
      <c r="Z44" s="217"/>
      <c r="AD44" s="1"/>
      <c r="AE44" s="1"/>
    </row>
    <row r="45" spans="2:31">
      <c r="B45" s="116">
        <v>44219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2805697.1564102583</v>
      </c>
      <c r="P45" s="7">
        <f t="shared" si="4"/>
        <v>109422189.10000007</v>
      </c>
      <c r="Q45" s="164">
        <f t="shared" si="9"/>
        <v>3081789.45</v>
      </c>
      <c r="R45" s="29">
        <f t="shared" si="3"/>
        <v>2079.0218439537903</v>
      </c>
      <c r="S45" s="5">
        <f>SUM($Q$7:$Q45)/T45+4</f>
        <v>3025891.5525641046</v>
      </c>
      <c r="T45" s="18">
        <v>39</v>
      </c>
      <c r="U45" s="27"/>
      <c r="V45" s="137"/>
      <c r="W45" s="105">
        <v>-1909862</v>
      </c>
      <c r="X45" s="167"/>
      <c r="Y45" s="156">
        <f>Y44-K45-L45</f>
        <v>-1909662</v>
      </c>
      <c r="Z45" s="217"/>
      <c r="AD45" s="1"/>
      <c r="AE45" s="1"/>
    </row>
    <row r="46" spans="2:31">
      <c r="B46" s="116">
        <v>44220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2808960.8637500019</v>
      </c>
      <c r="P46" s="7">
        <f t="shared" si="4"/>
        <v>112358434.55000007</v>
      </c>
      <c r="Q46" s="164">
        <f t="shared" si="9"/>
        <v>3081789.45</v>
      </c>
      <c r="R46" s="29">
        <f t="shared" si="3"/>
        <v>2079.9793189688353</v>
      </c>
      <c r="S46" s="5">
        <f>SUM($Q$7:$Q46)/T46</f>
        <v>3027285.100000002</v>
      </c>
      <c r="T46" s="18">
        <v>40</v>
      </c>
      <c r="U46" s="27"/>
      <c r="V46" s="137"/>
      <c r="W46" s="105">
        <v>-1909862</v>
      </c>
      <c r="X46" s="167"/>
      <c r="Y46" s="156">
        <f>Y45-K46-L46</f>
        <v>-1909662</v>
      </c>
      <c r="Z46" s="217"/>
      <c r="AD46" s="1"/>
      <c r="AE46" s="1"/>
    </row>
    <row r="47" spans="2:31">
      <c r="B47" s="116">
        <v>44221</v>
      </c>
      <c r="C47" s="14" t="str">
        <f t="shared" si="0"/>
        <v/>
      </c>
      <c r="D47" s="87"/>
      <c r="E47" s="87">
        <v>0</v>
      </c>
      <c r="F47" s="23">
        <v>-618523</v>
      </c>
      <c r="G47" s="26">
        <f>D47+E47+F47-E44-F44</f>
        <v>2158</v>
      </c>
      <c r="H47" s="132">
        <v>-2700</v>
      </c>
      <c r="I47" s="25">
        <v>-9800</v>
      </c>
      <c r="J47" s="25">
        <v>-100</v>
      </c>
      <c r="K47" s="170">
        <f t="shared" si="8"/>
        <v>-12600</v>
      </c>
      <c r="L47" s="171">
        <v>27</v>
      </c>
      <c r="M47" s="153"/>
      <c r="N47" s="149">
        <f t="shared" si="6"/>
        <v>-10415</v>
      </c>
      <c r="O47" s="67">
        <f t="shared" si="2"/>
        <v>2811811.3414634163</v>
      </c>
      <c r="P47" s="7">
        <f t="shared" si="4"/>
        <v>115284265.00000007</v>
      </c>
      <c r="Q47" s="164">
        <f t="shared" si="9"/>
        <v>3071374.45</v>
      </c>
      <c r="R47" s="29">
        <f t="shared" si="3"/>
        <v>2080.7181677018648</v>
      </c>
      <c r="S47" s="5">
        <f>SUM($Q$7:$Q47)/T47</f>
        <v>3028360.450000002</v>
      </c>
      <c r="T47" s="18">
        <v>41</v>
      </c>
      <c r="U47" s="138"/>
      <c r="V47" s="137"/>
      <c r="W47" s="105">
        <v>-1897288</v>
      </c>
      <c r="X47" s="167"/>
      <c r="Y47" s="156">
        <f t="shared" si="10"/>
        <v>-1897088</v>
      </c>
      <c r="Z47" s="217"/>
      <c r="AD47" s="1"/>
      <c r="AE47" s="1"/>
    </row>
    <row r="48" spans="2:31">
      <c r="B48" s="116">
        <v>44222</v>
      </c>
      <c r="C48" s="14" t="str">
        <f t="shared" si="0"/>
        <v/>
      </c>
      <c r="D48" s="87"/>
      <c r="E48" s="87">
        <v>0</v>
      </c>
      <c r="F48" s="23">
        <v>-613907</v>
      </c>
      <c r="G48" s="26">
        <f t="shared" si="11"/>
        <v>4616</v>
      </c>
      <c r="H48" s="132">
        <v>300</v>
      </c>
      <c r="I48" s="25">
        <v>-9250</v>
      </c>
      <c r="J48" s="25">
        <v>-100</v>
      </c>
      <c r="K48" s="170">
        <f t="shared" si="8"/>
        <v>-9050</v>
      </c>
      <c r="L48" s="171">
        <v>-20</v>
      </c>
      <c r="M48" s="153"/>
      <c r="N48" s="149">
        <f t="shared" si="6"/>
        <v>-4454</v>
      </c>
      <c r="O48" s="67">
        <f t="shared" si="2"/>
        <v>2814420.0107142874</v>
      </c>
      <c r="P48" s="7">
        <f t="shared" si="4"/>
        <v>118205640.45000008</v>
      </c>
      <c r="Q48" s="164">
        <f>Q47+N48-1</f>
        <v>3066919.45</v>
      </c>
      <c r="R48" s="29">
        <f t="shared" si="3"/>
        <v>2081.3489538755107</v>
      </c>
      <c r="S48" s="5">
        <f>SUM($Q$7:$Q48)/T48</f>
        <v>3029278.5214285734</v>
      </c>
      <c r="T48" s="18">
        <v>42</v>
      </c>
      <c r="U48" s="138"/>
      <c r="V48" s="137"/>
      <c r="W48" s="105">
        <v>-1888218</v>
      </c>
      <c r="X48" s="167">
        <f>W47-Y47</f>
        <v>-200</v>
      </c>
      <c r="Y48" s="156">
        <f>Y47-K48-L48</f>
        <v>-1888018</v>
      </c>
      <c r="Z48" s="217"/>
      <c r="AD48" s="1"/>
      <c r="AE48" s="1"/>
    </row>
    <row r="51" spans="4:7" ht="12.75" thickBot="1"/>
    <row r="52" spans="4:7" ht="13.5" thickTop="1" thickBot="1">
      <c r="D52" s="141" t="s">
        <v>58</v>
      </c>
      <c r="E52" s="20"/>
      <c r="F52" s="21"/>
      <c r="G52" s="22"/>
    </row>
    <row r="53" spans="4:7">
      <c r="D53" s="27" t="s">
        <v>59</v>
      </c>
      <c r="E53" s="139"/>
      <c r="F53" s="142"/>
      <c r="G53" s="90">
        <f>'Nov 2020'!Q48</f>
        <v>3014215.45</v>
      </c>
    </row>
    <row r="54" spans="4:7">
      <c r="D54" s="138" t="s">
        <v>4</v>
      </c>
      <c r="E54" s="139"/>
      <c r="F54" s="143"/>
      <c r="G54" s="91">
        <f>'Nov 2020'!E48</f>
        <v>0</v>
      </c>
    </row>
    <row r="55" spans="4:7">
      <c r="D55" s="138" t="s">
        <v>60</v>
      </c>
      <c r="E55" s="144"/>
      <c r="F55" s="143"/>
      <c r="G55" s="91">
        <f>'Nov 2020'!F48</f>
        <v>-585835</v>
      </c>
    </row>
    <row r="56" spans="4:7" ht="12.75" thickBot="1">
      <c r="D56" s="140" t="s">
        <v>46</v>
      </c>
      <c r="E56" s="145"/>
      <c r="F56" s="146"/>
      <c r="G56" s="158">
        <f>'Nov 2020'!W48</f>
        <v>0</v>
      </c>
    </row>
    <row r="57" spans="4:7" ht="12.75" thickTop="1"/>
    <row r="65500" spans="23:23">
      <c r="W65500" s="105"/>
    </row>
    <row r="65507" spans="23:23">
      <c r="W65507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U6553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H4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2851562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126782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43404</v>
      </c>
      <c r="C7" s="14" t="str">
        <f t="shared" ref="C7:C55" si="0">IF(OR(WEEKDAY(B7)=1,WEEKDAY(B7)=7),"F","")</f>
        <v/>
      </c>
      <c r="D7" s="87">
        <f>-7683+8007</f>
        <v>324</v>
      </c>
      <c r="E7" s="128">
        <v>615</v>
      </c>
      <c r="F7" s="162">
        <v>-618481</v>
      </c>
      <c r="G7" s="26">
        <f>D7+E7+F7-G59-G60</f>
        <v>-7515</v>
      </c>
      <c r="H7" s="132">
        <v>600</v>
      </c>
      <c r="I7" s="63">
        <v>25700</v>
      </c>
      <c r="J7" s="63">
        <v>-1000</v>
      </c>
      <c r="K7" s="63">
        <f>SUM(H7:J7)</f>
        <v>25300</v>
      </c>
      <c r="L7" s="150">
        <v>91</v>
      </c>
      <c r="M7" s="153"/>
      <c r="N7" s="149">
        <f>L7+K7+G7+M7</f>
        <v>17876</v>
      </c>
      <c r="O7" s="67">
        <f t="shared" ref="O7:O48" si="1">P7/T7</f>
        <v>1276759.1499999999</v>
      </c>
      <c r="P7" s="163">
        <f>(+$Q7-$Q$3)</f>
        <v>1276759.1499999999</v>
      </c>
      <c r="Q7" s="164">
        <f>G58+N7+2</f>
        <v>1403541.15</v>
      </c>
      <c r="R7" s="29">
        <f t="shared" ref="R7:R55" si="2">$S7/$Q$3*100</f>
        <v>1107.050803741856</v>
      </c>
      <c r="S7" s="165">
        <f>$Q7</f>
        <v>1403541.15</v>
      </c>
      <c r="T7" s="166">
        <v>1</v>
      </c>
      <c r="U7" s="138">
        <f>B7</f>
        <v>43404</v>
      </c>
      <c r="V7" s="131" t="s">
        <v>234</v>
      </c>
      <c r="W7" s="105">
        <v>-1287909</v>
      </c>
      <c r="X7" s="167">
        <f>AVERAGE(W7:W13)</f>
        <v>-1310033.2857142857</v>
      </c>
      <c r="Y7" s="156">
        <f>-L7-K7+'Oct 2018'!Y48</f>
        <v>-1287909</v>
      </c>
      <c r="Z7" s="167">
        <f>AVERAGE(Y7:Y13)</f>
        <v>-1310025.857142857</v>
      </c>
      <c r="AA7" s="92"/>
    </row>
    <row r="8" spans="2:255">
      <c r="B8" s="116">
        <v>43405</v>
      </c>
      <c r="C8" s="14"/>
      <c r="D8" s="128">
        <f>-797+1490</f>
        <v>693</v>
      </c>
      <c r="E8" s="128">
        <v>203</v>
      </c>
      <c r="F8" s="162">
        <v>-591684</v>
      </c>
      <c r="G8" s="26">
        <f>D8+E8+F8-E7-F7</f>
        <v>27078</v>
      </c>
      <c r="H8" s="132">
        <v>10500</v>
      </c>
      <c r="I8" s="63">
        <v>-1200</v>
      </c>
      <c r="J8" s="63">
        <v>-1100</v>
      </c>
      <c r="K8" s="63">
        <f>SUM(H8:J8)</f>
        <v>8200</v>
      </c>
      <c r="L8" s="150">
        <v>-24</v>
      </c>
      <c r="M8" s="153"/>
      <c r="N8" s="149">
        <f>L8+K8+G8+M8</f>
        <v>35254</v>
      </c>
      <c r="O8" s="67">
        <f t="shared" si="1"/>
        <v>656007.07499999995</v>
      </c>
      <c r="P8" s="163">
        <f>(IF($Q8&lt;0,-$Q$3+P6,($Q8-$Q$3)+P6))</f>
        <v>1312014.1499999999</v>
      </c>
      <c r="Q8" s="164">
        <f>Q7+N8+1</f>
        <v>1438796.15</v>
      </c>
      <c r="R8" s="29">
        <f t="shared" si="2"/>
        <v>1120.9545913457746</v>
      </c>
      <c r="S8" s="165">
        <f>SUM($Q$7:$Q8)/T8</f>
        <v>1421168.65</v>
      </c>
      <c r="T8" s="166">
        <v>2</v>
      </c>
      <c r="U8" s="138">
        <f>B7+6</f>
        <v>43410</v>
      </c>
      <c r="V8" s="131">
        <v>1318.2</v>
      </c>
      <c r="W8" s="105">
        <v>-1296112</v>
      </c>
      <c r="X8" s="167"/>
      <c r="Y8" s="156">
        <f>Y7-K8-L8-27</f>
        <v>-1296112</v>
      </c>
      <c r="Z8" s="167"/>
      <c r="AA8" s="92"/>
    </row>
    <row r="9" spans="2:255">
      <c r="B9" s="116">
        <v>43406</v>
      </c>
      <c r="C9" s="14" t="str">
        <f t="shared" si="0"/>
        <v/>
      </c>
      <c r="D9" s="87"/>
      <c r="E9" s="87">
        <v>125</v>
      </c>
      <c r="F9" s="23">
        <v>-617415</v>
      </c>
      <c r="G9" s="26">
        <f>D9+E9+F9-E8-F8</f>
        <v>-25809</v>
      </c>
      <c r="H9" s="132">
        <v>8600</v>
      </c>
      <c r="I9" s="63">
        <v>12600</v>
      </c>
      <c r="J9" s="63">
        <v>-1100</v>
      </c>
      <c r="K9" s="63">
        <f>SUM(H9:J9)</f>
        <v>20100</v>
      </c>
      <c r="L9" s="150">
        <v>-67</v>
      </c>
      <c r="M9" s="153"/>
      <c r="N9" s="149">
        <f>L9+K9+G9+M9</f>
        <v>-5776</v>
      </c>
      <c r="O9" s="67">
        <f t="shared" si="1"/>
        <v>860999.1</v>
      </c>
      <c r="P9" s="7">
        <f>(IF($Q9&lt;0,-$Q$3+P7,($Q9-$Q$3)+P7))</f>
        <v>2582997.2999999998</v>
      </c>
      <c r="Q9" s="164">
        <f>Q8+N9</f>
        <v>1433020.15</v>
      </c>
      <c r="R9" s="29">
        <f t="shared" si="2"/>
        <v>1124.0705699547252</v>
      </c>
      <c r="S9" s="5">
        <f>SUM($Q$7:$Q9)/T9</f>
        <v>1425119.1499999997</v>
      </c>
      <c r="T9" s="17">
        <v>3</v>
      </c>
      <c r="V9" s="131"/>
      <c r="W9" s="105">
        <v>-1316120</v>
      </c>
      <c r="X9" s="167"/>
      <c r="Y9" s="156">
        <f>Y8-K9-L9-1+26</f>
        <v>-1316120</v>
      </c>
      <c r="Z9" s="167"/>
      <c r="AA9" s="92"/>
    </row>
    <row r="10" spans="2:255">
      <c r="B10" s="116">
        <v>43407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972308.86249999993</v>
      </c>
      <c r="P10" s="7">
        <f t="shared" ref="P10:P55" si="3">(IF($Q10&lt;0,-$Q$3+P9,($Q10-$Q$3)+P9))</f>
        <v>3889235.4499999997</v>
      </c>
      <c r="Q10" s="164">
        <f t="shared" ref="Q10:Q46" si="4">Q9+N10</f>
        <v>1433020.15</v>
      </c>
      <c r="R10" s="29">
        <f t="shared" si="2"/>
        <v>1125.6285592592008</v>
      </c>
      <c r="S10" s="5">
        <f>SUM($Q$7:$Q10)/T10</f>
        <v>1427094.4</v>
      </c>
      <c r="T10" s="17">
        <v>4</v>
      </c>
      <c r="U10" s="27"/>
      <c r="V10" s="133"/>
      <c r="W10" s="105">
        <v>-1316120</v>
      </c>
      <c r="X10" s="167"/>
      <c r="Y10" s="156">
        <f>Y9-K10-L10+26</f>
        <v>-1316094</v>
      </c>
      <c r="Z10" s="167"/>
      <c r="AA10" s="92"/>
    </row>
    <row r="11" spans="2:255">
      <c r="B11" s="116">
        <v>43408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5">L11+K11+G11+M11</f>
        <v>0</v>
      </c>
      <c r="O11" s="67">
        <f t="shared" si="1"/>
        <v>1039094.72</v>
      </c>
      <c r="P11" s="7">
        <f t="shared" si="3"/>
        <v>5195473.5999999996</v>
      </c>
      <c r="Q11" s="164">
        <f t="shared" si="4"/>
        <v>1433020.15</v>
      </c>
      <c r="R11" s="29">
        <f t="shared" si="2"/>
        <v>1126.5633528418862</v>
      </c>
      <c r="S11" s="5">
        <f>SUM($Q$7:$Q11)/T11</f>
        <v>1428279.55</v>
      </c>
      <c r="T11" s="17">
        <v>5</v>
      </c>
      <c r="U11" s="27"/>
      <c r="V11" s="134"/>
      <c r="W11" s="105">
        <v>-1316120</v>
      </c>
      <c r="X11" s="167"/>
      <c r="Y11" s="156">
        <f t="shared" ref="Y11:Y55" si="6">Y10-K11-L11</f>
        <v>-1316094</v>
      </c>
      <c r="Z11" s="167"/>
      <c r="AA11" s="92"/>
    </row>
    <row r="12" spans="2:255">
      <c r="B12" s="116">
        <v>43409</v>
      </c>
      <c r="C12" s="14" t="str">
        <f t="shared" si="0"/>
        <v/>
      </c>
      <c r="D12" s="87"/>
      <c r="E12" s="161">
        <v>129</v>
      </c>
      <c r="F12" s="23">
        <v>-633276</v>
      </c>
      <c r="G12" s="26">
        <f>D12+E12+F12-E9-F9</f>
        <v>-15857</v>
      </c>
      <c r="H12" s="132">
        <v>800</v>
      </c>
      <c r="I12" s="63">
        <v>2300</v>
      </c>
      <c r="J12" s="63">
        <v>400</v>
      </c>
      <c r="K12" s="63">
        <f>SUM(H12:J12)</f>
        <v>3500</v>
      </c>
      <c r="L12" s="150">
        <v>43</v>
      </c>
      <c r="M12" s="153"/>
      <c r="N12" s="149">
        <f t="shared" si="5"/>
        <v>-12314</v>
      </c>
      <c r="O12" s="67">
        <f t="shared" si="1"/>
        <v>1081616.2916666667</v>
      </c>
      <c r="P12" s="7">
        <f t="shared" si="3"/>
        <v>6489697.75</v>
      </c>
      <c r="Q12" s="164">
        <f>Q11+N12+300</f>
        <v>1421006.15</v>
      </c>
      <c r="R12" s="29">
        <f t="shared" si="2"/>
        <v>1125.6071971310334</v>
      </c>
      <c r="S12" s="5">
        <f>SUM($Q$7:$Q12)/T12</f>
        <v>1427067.3166666667</v>
      </c>
      <c r="T12" s="17">
        <v>6</v>
      </c>
      <c r="U12" s="138">
        <f>B12</f>
        <v>43409</v>
      </c>
      <c r="V12" s="159" t="s">
        <v>236</v>
      </c>
      <c r="W12" s="105">
        <v>-1319962</v>
      </c>
      <c r="X12" s="167">
        <f>AVERAGE(W12:W20)</f>
        <v>-1315903.888888889</v>
      </c>
      <c r="Y12" s="156">
        <f>Y11-K12-L12-325</f>
        <v>-1319962</v>
      </c>
      <c r="Z12" s="167">
        <f>AVERAGE(Y12:Y20)</f>
        <v>-1315903.888888889</v>
      </c>
      <c r="AA12" s="92"/>
    </row>
    <row r="13" spans="2:255">
      <c r="B13" s="116">
        <v>43410</v>
      </c>
      <c r="C13" s="14" t="str">
        <f t="shared" si="0"/>
        <v/>
      </c>
      <c r="D13" s="87"/>
      <c r="E13" s="87">
        <v>135</v>
      </c>
      <c r="F13" s="23">
        <v>-627631</v>
      </c>
      <c r="G13" s="26">
        <f>D13+E13+F13-E12-F12</f>
        <v>5651</v>
      </c>
      <c r="H13" s="132">
        <v>800</v>
      </c>
      <c r="I13" s="63">
        <v>-3300</v>
      </c>
      <c r="J13" s="63">
        <v>400</v>
      </c>
      <c r="K13" s="63">
        <f t="shared" ref="K13:K15" si="7">SUM(H13:J13)</f>
        <v>-2100</v>
      </c>
      <c r="L13" s="150">
        <v>27</v>
      </c>
      <c r="M13" s="153"/>
      <c r="N13" s="149">
        <f t="shared" si="5"/>
        <v>3578</v>
      </c>
      <c r="O13" s="67">
        <f t="shared" si="1"/>
        <v>1112499.9857142859</v>
      </c>
      <c r="P13" s="7">
        <f>(IF($Q13&lt;0,-$Q$3+P12,($Q13-$Q$3)+P12))</f>
        <v>7787499.9000000004</v>
      </c>
      <c r="Q13" s="164">
        <f>Q12+N13</f>
        <v>1424584.15</v>
      </c>
      <c r="R13" s="29">
        <f t="shared" si="2"/>
        <v>1125.327395506798</v>
      </c>
      <c r="S13" s="5">
        <f>SUM($Q$7:$Q13)/T13</f>
        <v>1426712.5785714288</v>
      </c>
      <c r="T13" s="17">
        <v>7</v>
      </c>
      <c r="U13" s="138">
        <f>B14+6</f>
        <v>43417</v>
      </c>
      <c r="V13" s="155">
        <v>1306.4000000000001</v>
      </c>
      <c r="W13" s="105">
        <v>-1317890</v>
      </c>
      <c r="X13" s="167"/>
      <c r="Y13" s="156">
        <f>Y12-K13-L13-1</f>
        <v>-1317890</v>
      </c>
      <c r="Z13" s="167"/>
      <c r="AA13" s="92"/>
      <c r="AB13" s="92"/>
    </row>
    <row r="14" spans="2:255">
      <c r="B14" s="116">
        <v>43411</v>
      </c>
      <c r="C14" s="14" t="str">
        <f t="shared" si="0"/>
        <v/>
      </c>
      <c r="D14" s="87">
        <f>-8007+6551</f>
        <v>-1456</v>
      </c>
      <c r="E14" s="87">
        <v>126</v>
      </c>
      <c r="F14" s="23">
        <v>-624378</v>
      </c>
      <c r="G14" s="26">
        <f>D14+E14+F14-E13-F13</f>
        <v>1788</v>
      </c>
      <c r="H14" s="132">
        <v>800</v>
      </c>
      <c r="I14" s="63">
        <v>800</v>
      </c>
      <c r="J14" s="63">
        <v>400</v>
      </c>
      <c r="K14" s="63">
        <f t="shared" si="7"/>
        <v>2000</v>
      </c>
      <c r="L14" s="150">
        <v>36</v>
      </c>
      <c r="M14" s="154"/>
      <c r="N14" s="149">
        <f>L14+K14+G14+M14</f>
        <v>3824</v>
      </c>
      <c r="O14" s="67">
        <f t="shared" si="1"/>
        <v>1136140.7562500001</v>
      </c>
      <c r="P14" s="7">
        <f t="shared" si="3"/>
        <v>9089126.0500000007</v>
      </c>
      <c r="Q14" s="164">
        <f>Q13+N14</f>
        <v>1428408.15</v>
      </c>
      <c r="R14" s="29">
        <f t="shared" si="2"/>
        <v>1125.4937806628702</v>
      </c>
      <c r="S14" s="5">
        <f>SUM($Q$7:$Q14)/T14-1</f>
        <v>1426923.5250000001</v>
      </c>
      <c r="T14" s="17">
        <v>8</v>
      </c>
      <c r="W14" s="105">
        <v>-1319925</v>
      </c>
      <c r="Y14" s="156">
        <f>Y13-K14-L14+1</f>
        <v>-1319925</v>
      </c>
      <c r="Z14" s="167"/>
      <c r="AA14" s="92"/>
    </row>
    <row r="15" spans="2:255">
      <c r="B15" s="116">
        <v>43412</v>
      </c>
      <c r="C15" s="14" t="str">
        <f t="shared" si="0"/>
        <v/>
      </c>
      <c r="D15" s="87"/>
      <c r="E15" s="87">
        <v>0</v>
      </c>
      <c r="F15" s="23">
        <v>-651016</v>
      </c>
      <c r="G15" s="26">
        <f>D15+E15+F15-E14-F14</f>
        <v>-26764</v>
      </c>
      <c r="H15" s="132">
        <v>600</v>
      </c>
      <c r="I15" s="63">
        <v>300</v>
      </c>
      <c r="J15" s="63">
        <v>400</v>
      </c>
      <c r="K15" s="63">
        <f t="shared" si="7"/>
        <v>1300</v>
      </c>
      <c r="L15" s="151">
        <v>-34</v>
      </c>
      <c r="M15" s="153"/>
      <c r="N15" s="149">
        <f>L15+K15+G15+M15+1</f>
        <v>-25497</v>
      </c>
      <c r="O15" s="67">
        <f t="shared" si="1"/>
        <v>1151695.0222222223</v>
      </c>
      <c r="P15" s="7">
        <f t="shared" si="3"/>
        <v>10365255.200000001</v>
      </c>
      <c r="Q15" s="164">
        <f>Q14+N15</f>
        <v>1402911.15</v>
      </c>
      <c r="R15" s="29">
        <f t="shared" si="2"/>
        <v>1123.3900492358714</v>
      </c>
      <c r="S15" s="5">
        <f>SUM($Q$7:$Q15)/T15</f>
        <v>1424256.3722222224</v>
      </c>
      <c r="T15" s="17">
        <v>9</v>
      </c>
      <c r="W15" s="105">
        <v>-1321192</v>
      </c>
      <c r="X15" s="167"/>
      <c r="Y15" s="156">
        <f>Y14-K15-L15-1</f>
        <v>-1321192</v>
      </c>
      <c r="Z15" s="167"/>
      <c r="AA15" s="92"/>
      <c r="AB15" s="92"/>
    </row>
    <row r="16" spans="2:255" s="69" customFormat="1">
      <c r="B16" s="116">
        <v>43413</v>
      </c>
      <c r="C16" s="14" t="str">
        <f t="shared" si="0"/>
        <v/>
      </c>
      <c r="D16" s="129"/>
      <c r="E16" s="87">
        <v>30</v>
      </c>
      <c r="F16" s="23">
        <v>-650780</v>
      </c>
      <c r="G16" s="26">
        <f>D16+E16+F16-E15-F15</f>
        <v>266</v>
      </c>
      <c r="H16" s="132">
        <v>700</v>
      </c>
      <c r="I16" s="63">
        <v>-1100</v>
      </c>
      <c r="J16" s="63">
        <v>400</v>
      </c>
      <c r="K16" s="63">
        <f>SUM(H16:J16)</f>
        <v>0</v>
      </c>
      <c r="L16" s="151">
        <v>-24</v>
      </c>
      <c r="M16" s="153"/>
      <c r="N16" s="152">
        <f>L16+K16+G16+M16</f>
        <v>242</v>
      </c>
      <c r="O16" s="67">
        <f t="shared" si="1"/>
        <v>1164162.6350000002</v>
      </c>
      <c r="P16" s="70">
        <f t="shared" si="3"/>
        <v>11641626.350000001</v>
      </c>
      <c r="Q16" s="164">
        <f>Q15+N16</f>
        <v>1403153.15</v>
      </c>
      <c r="R16" s="71">
        <f t="shared" si="2"/>
        <v>1121.7263097285106</v>
      </c>
      <c r="S16" s="72">
        <f>SUM($Q$7:$Q16)/T16+1</f>
        <v>1422147.0500000003</v>
      </c>
      <c r="T16" s="73">
        <v>10</v>
      </c>
      <c r="V16" s="133"/>
      <c r="W16" s="105">
        <v>-1321168</v>
      </c>
      <c r="X16" s="167"/>
      <c r="Y16" s="156">
        <f t="shared" si="6"/>
        <v>-1321168</v>
      </c>
      <c r="Z16" s="16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43414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5"/>
        <v>0</v>
      </c>
      <c r="O17" s="67">
        <f t="shared" si="1"/>
        <v>1174363.4090909092</v>
      </c>
      <c r="P17" s="7">
        <f t="shared" si="3"/>
        <v>12917997.500000002</v>
      </c>
      <c r="Q17" s="164">
        <f t="shared" si="4"/>
        <v>1403153.15</v>
      </c>
      <c r="R17" s="29">
        <f t="shared" si="2"/>
        <v>1120.3636342124851</v>
      </c>
      <c r="S17" s="5">
        <f>SUM($Q$7:$Q17)/T17</f>
        <v>1420419.4227272728</v>
      </c>
      <c r="T17" s="18">
        <v>11</v>
      </c>
      <c r="U17" s="27"/>
      <c r="V17" s="136"/>
      <c r="W17" s="105">
        <v>-1321168</v>
      </c>
      <c r="X17" s="167"/>
      <c r="Y17" s="156">
        <f t="shared" si="6"/>
        <v>-1321168</v>
      </c>
      <c r="Z17" s="167"/>
      <c r="AA17" s="92"/>
      <c r="AC17" s="92"/>
    </row>
    <row r="18" spans="2:31">
      <c r="B18" s="116">
        <v>43415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5"/>
        <v>0</v>
      </c>
      <c r="O18" s="67">
        <f t="shared" si="1"/>
        <v>1182864.0541666669</v>
      </c>
      <c r="P18" s="7">
        <f t="shared" si="3"/>
        <v>14194368.650000002</v>
      </c>
      <c r="Q18" s="164">
        <f t="shared" si="4"/>
        <v>1403153.15</v>
      </c>
      <c r="R18" s="29">
        <f t="shared" si="2"/>
        <v>1119.2279398232135</v>
      </c>
      <c r="S18" s="5">
        <f>SUM($Q$7:$Q18)/T18-1</f>
        <v>1418979.5666666667</v>
      </c>
      <c r="T18" s="18">
        <v>12</v>
      </c>
      <c r="U18" s="27"/>
      <c r="V18" s="136"/>
      <c r="W18" s="105">
        <v>-1321168</v>
      </c>
      <c r="X18" s="167"/>
      <c r="Y18" s="156">
        <f t="shared" si="6"/>
        <v>-1321168</v>
      </c>
      <c r="Z18" s="167"/>
      <c r="AA18" s="92"/>
    </row>
    <row r="19" spans="2:31">
      <c r="B19" s="116">
        <v>43416</v>
      </c>
      <c r="C19" s="14" t="str">
        <f t="shared" si="0"/>
        <v/>
      </c>
      <c r="D19" s="87"/>
      <c r="E19" s="87">
        <v>3</v>
      </c>
      <c r="F19" s="23">
        <v>-638334</v>
      </c>
      <c r="G19" s="26">
        <f>D19+E19+F19-E16-F16</f>
        <v>12419</v>
      </c>
      <c r="H19" s="132">
        <v>500</v>
      </c>
      <c r="I19" s="25">
        <v>-18600</v>
      </c>
      <c r="J19" s="63">
        <v>300</v>
      </c>
      <c r="K19" s="63">
        <f>SUM(H19:J19)</f>
        <v>-17800</v>
      </c>
      <c r="L19" s="150">
        <v>-23</v>
      </c>
      <c r="M19" s="153"/>
      <c r="N19" s="149">
        <f t="shared" si="5"/>
        <v>-5404</v>
      </c>
      <c r="O19" s="67">
        <f t="shared" si="1"/>
        <v>1189641.1384615386</v>
      </c>
      <c r="P19" s="7">
        <f t="shared" si="3"/>
        <v>15465334.800000003</v>
      </c>
      <c r="Q19" s="164">
        <f>Q18+N19-1</f>
        <v>1397748.15</v>
      </c>
      <c r="R19" s="29">
        <f t="shared" si="2"/>
        <v>1117.9404835435266</v>
      </c>
      <c r="S19" s="5">
        <f>SUM($Q$7:$Q19)/T19</f>
        <v>1417347.3038461539</v>
      </c>
      <c r="T19" s="18">
        <v>13</v>
      </c>
      <c r="U19" s="138">
        <f>B19</f>
        <v>43416</v>
      </c>
      <c r="V19" s="131" t="s">
        <v>237</v>
      </c>
      <c r="W19" s="105">
        <v>-1303345</v>
      </c>
      <c r="X19" s="167">
        <f>AVERAGE(W19:W27)</f>
        <v>-1270769</v>
      </c>
      <c r="Y19" s="156">
        <f t="shared" si="6"/>
        <v>-1303345</v>
      </c>
      <c r="Z19" s="167">
        <f>AVERAGE(Y19:Y27)</f>
        <v>-1270769</v>
      </c>
      <c r="AA19" s="92"/>
    </row>
    <row r="20" spans="2:31">
      <c r="B20" s="116">
        <v>43417</v>
      </c>
      <c r="C20" s="14" t="str">
        <f t="shared" si="0"/>
        <v/>
      </c>
      <c r="D20" s="87"/>
      <c r="E20" s="87">
        <v>30</v>
      </c>
      <c r="F20" s="23">
        <v>-642873</v>
      </c>
      <c r="G20" s="26">
        <f>D20+E20+F20-E19-F19</f>
        <v>-4512</v>
      </c>
      <c r="H20" s="132">
        <v>600</v>
      </c>
      <c r="I20" s="25">
        <v>-6900</v>
      </c>
      <c r="J20" s="63">
        <v>300</v>
      </c>
      <c r="K20" s="63">
        <f t="shared" ref="K20:K31" si="8">SUM(H20:J20)</f>
        <v>-6000</v>
      </c>
      <c r="L20" s="150">
        <v>-28</v>
      </c>
      <c r="M20" s="153"/>
      <c r="N20" s="149">
        <f t="shared" si="5"/>
        <v>-10540</v>
      </c>
      <c r="O20" s="67">
        <f t="shared" si="1"/>
        <v>1194697.210714286</v>
      </c>
      <c r="P20" s="7">
        <f t="shared" si="3"/>
        <v>16725760.950000003</v>
      </c>
      <c r="Q20" s="164">
        <f>Q19+N20</f>
        <v>1387208.15</v>
      </c>
      <c r="R20" s="29">
        <f t="shared" si="2"/>
        <v>1116.2424533000403</v>
      </c>
      <c r="S20" s="5">
        <f>SUM($Q$7:$Q20)/T20</f>
        <v>1415194.5071428569</v>
      </c>
      <c r="T20" s="18">
        <v>14</v>
      </c>
      <c r="U20" s="138">
        <f>B21+6</f>
        <v>43424</v>
      </c>
      <c r="V20" s="131">
        <v>1349.7</v>
      </c>
      <c r="W20" s="105">
        <v>-1297317</v>
      </c>
      <c r="X20" s="167"/>
      <c r="Y20" s="156">
        <f t="shared" si="6"/>
        <v>-1297317</v>
      </c>
      <c r="Z20" s="167"/>
      <c r="AA20" s="92"/>
      <c r="AB20" s="92"/>
    </row>
    <row r="21" spans="2:31">
      <c r="B21" s="116">
        <v>43418</v>
      </c>
      <c r="C21" s="14" t="str">
        <f t="shared" si="0"/>
        <v/>
      </c>
      <c r="D21" s="87">
        <f>-6551+6736</f>
        <v>185</v>
      </c>
      <c r="E21" s="87">
        <v>96</v>
      </c>
      <c r="F21" s="23">
        <v>-630602</v>
      </c>
      <c r="G21" s="26">
        <f>D21+E21+F21-E20-F20</f>
        <v>12522</v>
      </c>
      <c r="H21" s="132">
        <v>700</v>
      </c>
      <c r="I21" s="25">
        <v>-10800</v>
      </c>
      <c r="J21" s="63">
        <v>300</v>
      </c>
      <c r="K21" s="63">
        <f t="shared" si="8"/>
        <v>-9800</v>
      </c>
      <c r="L21" s="150">
        <v>43</v>
      </c>
      <c r="M21" s="153"/>
      <c r="N21" s="149">
        <f>L21+K21+G21+M21</f>
        <v>2765</v>
      </c>
      <c r="O21" s="67">
        <f t="shared" si="1"/>
        <v>1199263.4733333334</v>
      </c>
      <c r="P21" s="7">
        <f t="shared" si="3"/>
        <v>17988952.100000001</v>
      </c>
      <c r="Q21" s="164">
        <f>Q20+N21</f>
        <v>1389973.15</v>
      </c>
      <c r="R21" s="29">
        <f t="shared" si="2"/>
        <v>1114.9162210198081</v>
      </c>
      <c r="S21" s="5">
        <f>SUM($Q$7:$Q21)/T21</f>
        <v>1413513.083333333</v>
      </c>
      <c r="T21" s="18">
        <v>15</v>
      </c>
      <c r="V21" s="131"/>
      <c r="W21" s="105">
        <v>-1287560</v>
      </c>
      <c r="Y21" s="156">
        <f t="shared" si="6"/>
        <v>-1287560</v>
      </c>
      <c r="AA21" s="92"/>
    </row>
    <row r="22" spans="2:31">
      <c r="B22" s="116">
        <v>43419</v>
      </c>
      <c r="C22" s="14" t="str">
        <f t="shared" si="0"/>
        <v/>
      </c>
      <c r="D22" s="87"/>
      <c r="E22" s="87">
        <v>85</v>
      </c>
      <c r="F22" s="23">
        <v>-571105</v>
      </c>
      <c r="G22" s="26">
        <f>D22+E22+F22-E21-F21</f>
        <v>59486</v>
      </c>
      <c r="H22" s="132">
        <v>-4900</v>
      </c>
      <c r="I22" s="25">
        <v>-5300</v>
      </c>
      <c r="J22" s="63">
        <v>300</v>
      </c>
      <c r="K22" s="63">
        <f t="shared" si="8"/>
        <v>-9900</v>
      </c>
      <c r="L22" s="150">
        <v>-2</v>
      </c>
      <c r="M22" s="153"/>
      <c r="N22" s="149">
        <f>L22+K22+G22+M22</f>
        <v>49584</v>
      </c>
      <c r="O22" s="67">
        <f t="shared" si="1"/>
        <v>1206357.953125</v>
      </c>
      <c r="P22" s="7">
        <f t="shared" si="3"/>
        <v>19301727.25</v>
      </c>
      <c r="Q22" s="164">
        <f>Q21+N22</f>
        <v>1439557.15</v>
      </c>
      <c r="R22" s="29">
        <f t="shared" si="2"/>
        <v>1116.2001210739693</v>
      </c>
      <c r="S22" s="5">
        <f>SUM($Q$7:$Q22)/T22</f>
        <v>1415140.8374999997</v>
      </c>
      <c r="T22" s="18">
        <v>16</v>
      </c>
      <c r="V22" s="131"/>
      <c r="W22" s="105">
        <v>-1277658</v>
      </c>
      <c r="X22" s="167"/>
      <c r="Y22" s="156">
        <f t="shared" si="6"/>
        <v>-1277658</v>
      </c>
      <c r="Z22" s="167"/>
      <c r="AA22" s="92"/>
    </row>
    <row r="23" spans="2:31">
      <c r="B23" s="116">
        <v>43420</v>
      </c>
      <c r="C23" s="14" t="str">
        <f t="shared" si="0"/>
        <v/>
      </c>
      <c r="D23" s="87"/>
      <c r="E23" s="87">
        <v>85</v>
      </c>
      <c r="F23" s="23">
        <v>-632810</v>
      </c>
      <c r="G23" s="26">
        <f>D23+E23+F23-E22-F22</f>
        <v>-61705</v>
      </c>
      <c r="H23" s="132">
        <v>3100</v>
      </c>
      <c r="I23" s="25">
        <v>-28200</v>
      </c>
      <c r="J23" s="63">
        <v>300</v>
      </c>
      <c r="K23" s="63">
        <f t="shared" si="8"/>
        <v>-24800</v>
      </c>
      <c r="L23" s="150">
        <v>35</v>
      </c>
      <c r="M23" s="153"/>
      <c r="N23" s="149">
        <f>L23+K23+G23+M23</f>
        <v>-86470</v>
      </c>
      <c r="O23" s="67">
        <f t="shared" si="1"/>
        <v>1208060.7882352939</v>
      </c>
      <c r="P23" s="7">
        <f t="shared" si="3"/>
        <v>20537033.399999999</v>
      </c>
      <c r="Q23" s="164">
        <f>Q22+N23+9000+1</f>
        <v>1362088.15</v>
      </c>
      <c r="R23" s="29">
        <f t="shared" si="2"/>
        <v>1113.7386152422823</v>
      </c>
      <c r="S23" s="5">
        <f>SUM($Q$7:$Q23)/T23</f>
        <v>1412020.0911764703</v>
      </c>
      <c r="T23" s="18">
        <v>17</v>
      </c>
      <c r="U23" s="27"/>
      <c r="V23" s="135"/>
      <c r="W23" s="105">
        <v>-1252893</v>
      </c>
      <c r="X23" s="167"/>
      <c r="Y23" s="156">
        <f t="shared" si="6"/>
        <v>-1252893</v>
      </c>
      <c r="Z23" s="167"/>
      <c r="AA23" s="92"/>
    </row>
    <row r="24" spans="2:31">
      <c r="B24" s="116">
        <v>43421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5"/>
        <v>0</v>
      </c>
      <c r="O24" s="67">
        <f t="shared" si="1"/>
        <v>1209574.4194444444</v>
      </c>
      <c r="P24" s="7">
        <f t="shared" si="3"/>
        <v>21772339.549999997</v>
      </c>
      <c r="Q24" s="164">
        <f t="shared" si="4"/>
        <v>1362088.15</v>
      </c>
      <c r="R24" s="29">
        <f t="shared" si="2"/>
        <v>1111.5506100585603</v>
      </c>
      <c r="S24" s="5">
        <f>SUM($Q$7:$Q24)/T24</f>
        <v>1409246.0944444439</v>
      </c>
      <c r="T24" s="18">
        <v>18</v>
      </c>
      <c r="V24" s="135"/>
      <c r="W24" s="105">
        <v>-1252893</v>
      </c>
      <c r="X24" s="167"/>
      <c r="Y24" s="156">
        <f t="shared" si="6"/>
        <v>-1252893</v>
      </c>
      <c r="Z24" s="167"/>
      <c r="AA24" s="92"/>
      <c r="AD24" s="1"/>
      <c r="AE24" s="1"/>
    </row>
    <row r="25" spans="2:31">
      <c r="B25" s="116">
        <v>43422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5"/>
        <v>0</v>
      </c>
      <c r="O25" s="67">
        <f t="shared" si="1"/>
        <v>1210928.7210526313</v>
      </c>
      <c r="P25" s="7">
        <f t="shared" si="3"/>
        <v>23007645.699999996</v>
      </c>
      <c r="Q25" s="164">
        <f t="shared" si="4"/>
        <v>1362088.15</v>
      </c>
      <c r="R25" s="29">
        <f t="shared" si="2"/>
        <v>1109.592921209967</v>
      </c>
      <c r="S25" s="5">
        <f>SUM($Q$7:$Q25)/T25</f>
        <v>1406764.0973684206</v>
      </c>
      <c r="T25" s="18">
        <v>19</v>
      </c>
      <c r="V25" s="131"/>
      <c r="W25" s="105">
        <v>-1252893</v>
      </c>
      <c r="X25" s="167"/>
      <c r="Y25" s="156">
        <f t="shared" si="6"/>
        <v>-1252893</v>
      </c>
      <c r="Z25" s="167"/>
      <c r="AA25" s="92"/>
      <c r="AD25" s="1"/>
      <c r="AE25" s="1"/>
    </row>
    <row r="26" spans="2:31">
      <c r="B26" s="116">
        <v>43423</v>
      </c>
      <c r="C26" s="14" t="str">
        <f t="shared" si="0"/>
        <v/>
      </c>
      <c r="D26" s="87"/>
      <c r="E26" s="87">
        <v>66</v>
      </c>
      <c r="F26" s="23">
        <v>-632147</v>
      </c>
      <c r="G26" s="26">
        <f>D26+E26+F26-E23-F23</f>
        <v>644</v>
      </c>
      <c r="H26" s="132">
        <v>100</v>
      </c>
      <c r="I26" s="25">
        <v>2700</v>
      </c>
      <c r="J26" s="25">
        <v>200</v>
      </c>
      <c r="K26" s="63">
        <f t="shared" si="8"/>
        <v>3000</v>
      </c>
      <c r="L26" s="150">
        <v>20</v>
      </c>
      <c r="M26" s="153"/>
      <c r="N26" s="149">
        <f t="shared" si="5"/>
        <v>3664</v>
      </c>
      <c r="O26" s="67">
        <f t="shared" si="1"/>
        <v>1211867.0424999997</v>
      </c>
      <c r="P26" s="7">
        <f t="shared" si="3"/>
        <v>24237340.849999994</v>
      </c>
      <c r="Q26" s="164">
        <f>Q25+N26-9275</f>
        <v>1356477.15</v>
      </c>
      <c r="R26" s="29">
        <f t="shared" si="2"/>
        <v>1107.609715890268</v>
      </c>
      <c r="S26" s="5">
        <f>SUM($Q$7:$Q26)/T26</f>
        <v>1404249.7499999995</v>
      </c>
      <c r="T26" s="18">
        <v>20</v>
      </c>
      <c r="U26" s="138">
        <f>B26</f>
        <v>43423</v>
      </c>
      <c r="V26" s="131" t="s">
        <v>238</v>
      </c>
      <c r="W26" s="105">
        <v>-1255639</v>
      </c>
      <c r="X26" s="167">
        <f>AVERAGE(W26:W34)</f>
        <v>-1251599.111111111</v>
      </c>
      <c r="Y26" s="156">
        <f>Y25-K26-L26+274</f>
        <v>-1255639</v>
      </c>
      <c r="Z26" s="167">
        <f>AVERAGE(Y26:Y34)</f>
        <v>-1251599.111111111</v>
      </c>
      <c r="AC26" s="92">
        <f>Y26-W26</f>
        <v>0</v>
      </c>
      <c r="AD26" s="1"/>
      <c r="AE26" s="1"/>
    </row>
    <row r="27" spans="2:31">
      <c r="B27" s="116">
        <v>43424</v>
      </c>
      <c r="C27" s="14" t="str">
        <f t="shared" si="0"/>
        <v/>
      </c>
      <c r="D27" s="87"/>
      <c r="E27" s="87">
        <v>98</v>
      </c>
      <c r="F27" s="23">
        <v>-636811</v>
      </c>
      <c r="G27" s="26">
        <f>D27+E27+F27-E26-F26</f>
        <v>-4632</v>
      </c>
      <c r="H27" s="132">
        <v>-5300</v>
      </c>
      <c r="I27" s="25">
        <v>6200</v>
      </c>
      <c r="J27" s="25">
        <v>200</v>
      </c>
      <c r="K27" s="63">
        <f t="shared" si="8"/>
        <v>1100</v>
      </c>
      <c r="L27" s="150">
        <v>-16</v>
      </c>
      <c r="M27" s="153"/>
      <c r="N27" s="149">
        <f>L27+K27+G27+M27</f>
        <v>-3548</v>
      </c>
      <c r="O27" s="67">
        <f t="shared" si="1"/>
        <v>1212547.0476190473</v>
      </c>
      <c r="P27" s="7">
        <f t="shared" si="3"/>
        <v>25463487.999999993</v>
      </c>
      <c r="Q27" s="164">
        <f>Q26+N27</f>
        <v>1352929.15</v>
      </c>
      <c r="R27" s="29">
        <f t="shared" si="2"/>
        <v>1105.682913903205</v>
      </c>
      <c r="S27" s="5">
        <f>SUM($Q$7:$Q27)/T27+1</f>
        <v>1401806.9119047613</v>
      </c>
      <c r="T27" s="18">
        <v>21</v>
      </c>
      <c r="U27" s="138">
        <f>B28+6</f>
        <v>43431</v>
      </c>
      <c r="V27" s="159">
        <v>1378.1</v>
      </c>
      <c r="W27" s="105">
        <v>-1256723</v>
      </c>
      <c r="X27" s="167"/>
      <c r="Y27" s="156">
        <f>Y26-K27-L27</f>
        <v>-1256723</v>
      </c>
      <c r="Z27" s="167"/>
      <c r="AA27" s="92"/>
      <c r="AD27" s="1"/>
      <c r="AE27" s="1"/>
    </row>
    <row r="28" spans="2:31">
      <c r="B28" s="116">
        <v>43425</v>
      </c>
      <c r="C28" s="14" t="str">
        <f t="shared" si="0"/>
        <v/>
      </c>
      <c r="D28" s="87">
        <f>-6736+6352</f>
        <v>-384</v>
      </c>
      <c r="E28" s="87">
        <v>285</v>
      </c>
      <c r="F28" s="23">
        <v>-642067</v>
      </c>
      <c r="G28" s="26">
        <f>D28+E28+F28-E27-F27</f>
        <v>-5453</v>
      </c>
      <c r="H28" s="132">
        <v>-15700</v>
      </c>
      <c r="I28" s="25">
        <v>10100</v>
      </c>
      <c r="J28" s="25">
        <v>-100</v>
      </c>
      <c r="K28" s="63">
        <f t="shared" si="8"/>
        <v>-5700</v>
      </c>
      <c r="L28" s="150">
        <v>36</v>
      </c>
      <c r="M28" s="153"/>
      <c r="N28" s="149">
        <f>L28+K28+G28+M28</f>
        <v>-11117</v>
      </c>
      <c r="O28" s="67">
        <f t="shared" si="1"/>
        <v>1212659.8704545451</v>
      </c>
      <c r="P28" s="7">
        <f t="shared" si="3"/>
        <v>26678517.149999991</v>
      </c>
      <c r="Q28" s="164">
        <f>Q27+N28-1</f>
        <v>1341811.1499999999</v>
      </c>
      <c r="R28" s="29">
        <f t="shared" si="2"/>
        <v>1103.5366828672261</v>
      </c>
      <c r="S28" s="5">
        <f>SUM($Q$7:$Q28)/T28+7</f>
        <v>1399085.8772727267</v>
      </c>
      <c r="T28" s="18">
        <v>22</v>
      </c>
      <c r="V28" s="131"/>
      <c r="W28" s="105">
        <v>-1251059</v>
      </c>
      <c r="X28" s="167"/>
      <c r="Y28" s="156">
        <f t="shared" si="6"/>
        <v>-1251059</v>
      </c>
      <c r="Z28" s="167"/>
      <c r="AA28" s="92"/>
      <c r="AD28" s="1"/>
      <c r="AE28" s="1"/>
    </row>
    <row r="29" spans="2:31">
      <c r="B29" s="116">
        <v>43426</v>
      </c>
      <c r="C29" s="14" t="str">
        <f t="shared" si="0"/>
        <v/>
      </c>
      <c r="D29" s="87"/>
      <c r="E29" s="87">
        <v>662</v>
      </c>
      <c r="F29" s="23">
        <v>-627086</v>
      </c>
      <c r="G29" s="26">
        <f>D29+E29+F29-E28-F28</f>
        <v>15358</v>
      </c>
      <c r="H29" s="132">
        <v>200</v>
      </c>
      <c r="I29" s="25">
        <v>-1100</v>
      </c>
      <c r="J29" s="25">
        <v>-100</v>
      </c>
      <c r="K29" s="63">
        <f t="shared" si="8"/>
        <v>-1000</v>
      </c>
      <c r="L29" s="150">
        <v>-28</v>
      </c>
      <c r="M29" s="153"/>
      <c r="N29" s="149">
        <f>L29+K29+G29+M29</f>
        <v>14330</v>
      </c>
      <c r="O29" s="67">
        <f t="shared" si="1"/>
        <v>1213385.9695652169</v>
      </c>
      <c r="P29" s="7">
        <f t="shared" si="3"/>
        <v>27907877.29999999</v>
      </c>
      <c r="Q29" s="164">
        <f>Q28+N29+1</f>
        <v>1356142.15</v>
      </c>
      <c r="R29" s="29">
        <f t="shared" si="2"/>
        <v>1102.0634341179959</v>
      </c>
      <c r="S29" s="5">
        <f>SUM($Q$7:$Q29)/T29+6</f>
        <v>1397218.0630434775</v>
      </c>
      <c r="T29" s="18">
        <v>23</v>
      </c>
      <c r="V29" s="131"/>
      <c r="W29" s="105">
        <v>-1250031</v>
      </c>
      <c r="X29" s="167"/>
      <c r="Y29" s="156">
        <f t="shared" si="6"/>
        <v>-1250031</v>
      </c>
      <c r="Z29" s="167"/>
      <c r="AA29" s="92"/>
      <c r="AD29" s="1"/>
      <c r="AE29" s="1"/>
    </row>
    <row r="30" spans="2:31">
      <c r="B30" s="116">
        <v>43427</v>
      </c>
      <c r="C30" s="14" t="str">
        <f t="shared" si="0"/>
        <v/>
      </c>
      <c r="D30" s="87"/>
      <c r="E30" s="87">
        <v>380</v>
      </c>
      <c r="F30" s="23">
        <v>-628773</v>
      </c>
      <c r="G30" s="26">
        <f>D30+E30+F30-E29-F29</f>
        <v>-1969</v>
      </c>
      <c r="H30" s="132">
        <v>-900</v>
      </c>
      <c r="I30" s="25">
        <v>150</v>
      </c>
      <c r="J30" s="25">
        <v>-100</v>
      </c>
      <c r="K30" s="63">
        <f t="shared" si="8"/>
        <v>-850</v>
      </c>
      <c r="L30" s="150">
        <v>-13</v>
      </c>
      <c r="M30" s="153"/>
      <c r="N30" s="149">
        <f t="shared" si="5"/>
        <v>-2832</v>
      </c>
      <c r="O30" s="67">
        <f t="shared" si="1"/>
        <v>1213933.5604166661</v>
      </c>
      <c r="P30" s="7">
        <f t="shared" si="3"/>
        <v>29134405.449999988</v>
      </c>
      <c r="Q30" s="164">
        <f>Q29+N30</f>
        <v>1353310.15</v>
      </c>
      <c r="R30" s="29">
        <f t="shared" si="2"/>
        <v>1100.6206059745593</v>
      </c>
      <c r="S30" s="5">
        <f>SUM($Q$7:$Q30)/T30+6</f>
        <v>1395388.816666666</v>
      </c>
      <c r="T30" s="18">
        <v>24</v>
      </c>
      <c r="V30" s="131"/>
      <c r="W30" s="105">
        <v>-1249169</v>
      </c>
      <c r="X30" s="167"/>
      <c r="Y30" s="156">
        <f>Y29-K30-L30-1</f>
        <v>-1249169</v>
      </c>
      <c r="Z30" s="167"/>
      <c r="AA30" s="92"/>
      <c r="AD30" s="1"/>
      <c r="AE30" s="1"/>
    </row>
    <row r="31" spans="2:31">
      <c r="B31" s="116">
        <v>43428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>
        <f t="shared" si="8"/>
        <v>0</v>
      </c>
      <c r="L31" s="150"/>
      <c r="M31" s="153"/>
      <c r="N31" s="149">
        <f>L31+K31+G31+M31</f>
        <v>0</v>
      </c>
      <c r="O31" s="67">
        <f>P31/T31</f>
        <v>1214437.3439999996</v>
      </c>
      <c r="P31" s="7">
        <f t="shared" si="3"/>
        <v>30360933.599999987</v>
      </c>
      <c r="Q31" s="164">
        <f t="shared" si="4"/>
        <v>1353310.15</v>
      </c>
      <c r="R31" s="29">
        <f t="shared" si="2"/>
        <v>1099.2900490605916</v>
      </c>
      <c r="S31" s="5">
        <f>SUM($Q$7:$Q31)/T31+2</f>
        <v>1393701.9099999995</v>
      </c>
      <c r="T31" s="18">
        <v>25</v>
      </c>
      <c r="V31" s="137"/>
      <c r="W31" s="105">
        <v>-1249169</v>
      </c>
      <c r="X31" s="167"/>
      <c r="Y31" s="156">
        <f t="shared" si="6"/>
        <v>-1249169</v>
      </c>
      <c r="Z31" s="167"/>
      <c r="AA31" s="92"/>
      <c r="AB31" s="92"/>
      <c r="AD31" s="1"/>
      <c r="AE31" s="1"/>
    </row>
    <row r="32" spans="2:31">
      <c r="B32" s="116">
        <v>43429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5"/>
        <v>0</v>
      </c>
      <c r="O32" s="67">
        <f t="shared" si="1"/>
        <v>1214902.3749999995</v>
      </c>
      <c r="P32" s="7">
        <f t="shared" si="3"/>
        <v>31587461.749999985</v>
      </c>
      <c r="Q32" s="164">
        <f t="shared" si="4"/>
        <v>1353310.15</v>
      </c>
      <c r="R32" s="29">
        <f t="shared" si="2"/>
        <v>1098.0631774954702</v>
      </c>
      <c r="S32" s="5">
        <f>SUM($Q$7:$Q32)/T32</f>
        <v>1392146.457692307</v>
      </c>
      <c r="T32" s="18">
        <v>26</v>
      </c>
      <c r="U32" s="27"/>
      <c r="V32" s="137"/>
      <c r="W32" s="105">
        <v>-1249169</v>
      </c>
      <c r="X32" s="167"/>
      <c r="Y32" s="156">
        <f t="shared" si="6"/>
        <v>-1249169</v>
      </c>
      <c r="Z32" s="167"/>
      <c r="AD32" s="1"/>
      <c r="AE32" s="1"/>
    </row>
    <row r="33" spans="2:31">
      <c r="B33" s="116">
        <v>43430</v>
      </c>
      <c r="C33" s="14" t="str">
        <f t="shared" si="0"/>
        <v/>
      </c>
      <c r="D33" s="87"/>
      <c r="E33" s="87">
        <v>391</v>
      </c>
      <c r="F33" s="23">
        <v>-634510</v>
      </c>
      <c r="G33" s="26">
        <f>D33+E33+F33-E30-F30</f>
        <v>-5726</v>
      </c>
      <c r="H33" s="132">
        <v>100</v>
      </c>
      <c r="I33" s="25">
        <v>7700</v>
      </c>
      <c r="J33" s="25">
        <v>-1200</v>
      </c>
      <c r="K33" s="63">
        <f t="shared" ref="K33:K39" si="9">SUM(H33:J33)</f>
        <v>6600</v>
      </c>
      <c r="L33" s="150">
        <v>12</v>
      </c>
      <c r="M33" s="153"/>
      <c r="N33" s="149">
        <f t="shared" si="5"/>
        <v>886</v>
      </c>
      <c r="O33" s="67">
        <f t="shared" si="1"/>
        <v>1215365.7740740734</v>
      </c>
      <c r="P33" s="7">
        <f t="shared" si="3"/>
        <v>32814875.899999984</v>
      </c>
      <c r="Q33" s="164">
        <f>Q32+N33</f>
        <v>1354196.15</v>
      </c>
      <c r="R33" s="29">
        <f t="shared" si="2"/>
        <v>1096.9584726071053</v>
      </c>
      <c r="S33" s="5">
        <f>SUM($Q$7:$Q33)/T33+5</f>
        <v>1390745.8907407401</v>
      </c>
      <c r="T33" s="18">
        <v>27</v>
      </c>
      <c r="U33" s="138">
        <f>B33</f>
        <v>43430</v>
      </c>
      <c r="V33" s="131" t="s">
        <v>239</v>
      </c>
      <c r="W33" s="105">
        <v>-1255781</v>
      </c>
      <c r="X33" s="167">
        <f>AVERAGE(W33:W41)</f>
        <v>-1269588.3333333333</v>
      </c>
      <c r="Y33" s="156">
        <f t="shared" si="6"/>
        <v>-1255781</v>
      </c>
      <c r="Z33" s="167">
        <f>AVERAGE(Y33:Y41)</f>
        <v>-1269588.2222222222</v>
      </c>
      <c r="AD33" s="1"/>
      <c r="AE33" s="1"/>
    </row>
    <row r="34" spans="2:31">
      <c r="B34" s="116">
        <v>43431</v>
      </c>
      <c r="C34" s="14" t="str">
        <f t="shared" si="0"/>
        <v/>
      </c>
      <c r="D34" s="87"/>
      <c r="E34" s="87">
        <v>101</v>
      </c>
      <c r="F34" s="23">
        <v>-621496</v>
      </c>
      <c r="G34" s="26">
        <f>D34+E34+F34-E33-F33</f>
        <v>12724</v>
      </c>
      <c r="H34" s="132">
        <v>600</v>
      </c>
      <c r="I34" s="25">
        <v>-7500</v>
      </c>
      <c r="J34" s="25">
        <v>-1200</v>
      </c>
      <c r="K34" s="63">
        <f t="shared" si="9"/>
        <v>-8100</v>
      </c>
      <c r="L34" s="150">
        <v>-28</v>
      </c>
      <c r="M34" s="153"/>
      <c r="N34" s="149">
        <f>L34+K34+G34+M34</f>
        <v>4596</v>
      </c>
      <c r="O34" s="67">
        <f t="shared" si="1"/>
        <v>1215960.216071428</v>
      </c>
      <c r="P34" s="7">
        <f t="shared" si="3"/>
        <v>34046886.049999982</v>
      </c>
      <c r="Q34" s="164">
        <f>Q33+N34</f>
        <v>1358792.15</v>
      </c>
      <c r="R34" s="29">
        <f t="shared" si="2"/>
        <v>1096.0545379357586</v>
      </c>
      <c r="S34" s="5">
        <f>SUM($Q$7:$Q34)/T34</f>
        <v>1389599.8642857135</v>
      </c>
      <c r="T34" s="18">
        <v>28</v>
      </c>
      <c r="U34" s="138">
        <f>B35+6</f>
        <v>43438</v>
      </c>
      <c r="V34" s="131">
        <v>1375.5</v>
      </c>
      <c r="W34" s="105">
        <v>-1247652</v>
      </c>
      <c r="X34" s="167"/>
      <c r="Y34" s="156">
        <f>Y33-K34-L34+1</f>
        <v>-1247652</v>
      </c>
      <c r="Z34" s="167"/>
      <c r="AA34" s="92"/>
      <c r="AD34" s="1"/>
      <c r="AE34" s="1"/>
    </row>
    <row r="35" spans="2:31">
      <c r="B35" s="116">
        <v>43432</v>
      </c>
      <c r="C35" s="14" t="str">
        <f t="shared" si="0"/>
        <v/>
      </c>
      <c r="D35" s="87">
        <f>-6352+6535</f>
        <v>183</v>
      </c>
      <c r="E35" s="87">
        <v>124</v>
      </c>
      <c r="F35" s="23">
        <v>-624879</v>
      </c>
      <c r="G35" s="26">
        <f>D35+E35+F35-E34-F34</f>
        <v>-3177</v>
      </c>
      <c r="H35" s="132">
        <v>600</v>
      </c>
      <c r="I35" s="25">
        <v>6700</v>
      </c>
      <c r="J35" s="25">
        <v>-1200</v>
      </c>
      <c r="K35" s="63">
        <f t="shared" si="9"/>
        <v>6100</v>
      </c>
      <c r="L35" s="150">
        <v>43</v>
      </c>
      <c r="M35" s="153"/>
      <c r="N35" s="149">
        <f t="shared" si="5"/>
        <v>2966</v>
      </c>
      <c r="O35" s="67">
        <f t="shared" si="1"/>
        <v>1216615.9724137925</v>
      </c>
      <c r="P35" s="7">
        <f t="shared" si="3"/>
        <v>35281863.199999981</v>
      </c>
      <c r="Q35" s="164">
        <f>Q34+N35+1</f>
        <v>1361759.15</v>
      </c>
      <c r="R35" s="29">
        <f t="shared" si="2"/>
        <v>1095.2965244712748</v>
      </c>
      <c r="S35" s="5">
        <f>SUM($Q$7:$Q35)/T35-1</f>
        <v>1388638.8396551716</v>
      </c>
      <c r="T35" s="18">
        <v>29</v>
      </c>
      <c r="V35" s="131"/>
      <c r="W35" s="105">
        <v>-1253796</v>
      </c>
      <c r="X35" s="167"/>
      <c r="Y35" s="156">
        <f>Y34-K35-L35-1</f>
        <v>-1253796</v>
      </c>
      <c r="Z35" s="167"/>
      <c r="AA35" s="92"/>
      <c r="AD35" s="1"/>
      <c r="AE35" s="1"/>
    </row>
    <row r="36" spans="2:31">
      <c r="B36" s="116">
        <v>43433</v>
      </c>
      <c r="C36" s="14" t="str">
        <f t="shared" si="0"/>
        <v/>
      </c>
      <c r="D36" s="87">
        <f>-1454+1946</f>
        <v>492</v>
      </c>
      <c r="E36" s="87">
        <v>82</v>
      </c>
      <c r="F36" s="23">
        <v>-635573</v>
      </c>
      <c r="G36" s="26">
        <f>D36+E36+F36-E35-F35</f>
        <v>-10244</v>
      </c>
      <c r="H36" s="132">
        <v>-2900</v>
      </c>
      <c r="I36" s="25">
        <v>5700</v>
      </c>
      <c r="J36" s="25">
        <v>-1200</v>
      </c>
      <c r="K36" s="63">
        <f t="shared" si="9"/>
        <v>1600</v>
      </c>
      <c r="L36" s="150">
        <v>27</v>
      </c>
      <c r="M36" s="153"/>
      <c r="N36" s="149">
        <f>L36+K36+G36+M36</f>
        <v>-8617</v>
      </c>
      <c r="O36" s="67">
        <f t="shared" si="1"/>
        <v>1216940.7783333326</v>
      </c>
      <c r="P36" s="7">
        <f t="shared" si="3"/>
        <v>36508223.349999979</v>
      </c>
      <c r="Q36" s="164">
        <f t="shared" si="4"/>
        <v>1353142.15</v>
      </c>
      <c r="R36" s="29">
        <f t="shared" si="2"/>
        <v>1094.3632245376571</v>
      </c>
      <c r="S36" s="5">
        <f>SUM($Q$7:$Q36)/T36-1</f>
        <v>1387455.5833333326</v>
      </c>
      <c r="T36" s="18">
        <v>30</v>
      </c>
      <c r="V36" s="137"/>
      <c r="W36" s="105">
        <v>-1255422</v>
      </c>
      <c r="X36" s="167"/>
      <c r="Y36" s="156">
        <f>Y35-K36-L36+1</f>
        <v>-1255422</v>
      </c>
      <c r="Z36" s="167"/>
      <c r="AD36" s="1"/>
      <c r="AE36" s="1"/>
    </row>
    <row r="37" spans="2:31">
      <c r="B37" s="116">
        <v>43434</v>
      </c>
      <c r="C37" s="14" t="str">
        <f t="shared" si="0"/>
        <v/>
      </c>
      <c r="D37" s="87"/>
      <c r="E37" s="87">
        <v>256</v>
      </c>
      <c r="F37" s="23">
        <v>-654824</v>
      </c>
      <c r="G37" s="26">
        <f>D37+E37+F37-E36-F36</f>
        <v>-19077</v>
      </c>
      <c r="H37" s="132">
        <v>100</v>
      </c>
      <c r="I37" s="25">
        <v>19600</v>
      </c>
      <c r="J37" s="25">
        <v>-1200</v>
      </c>
      <c r="K37" s="63">
        <f t="shared" si="9"/>
        <v>18500</v>
      </c>
      <c r="L37" s="150">
        <v>-46</v>
      </c>
      <c r="M37" s="153"/>
      <c r="N37" s="149">
        <f>L37+K37+G37+M37</f>
        <v>-623</v>
      </c>
      <c r="O37" s="67">
        <f t="shared" si="1"/>
        <v>1217224.5322580638</v>
      </c>
      <c r="P37" s="7">
        <f t="shared" si="3"/>
        <v>37733960.499999978</v>
      </c>
      <c r="Q37" s="164">
        <f>Q36+N37</f>
        <v>1352519.15</v>
      </c>
      <c r="R37" s="29">
        <f t="shared" si="2"/>
        <v>1093.4758635727769</v>
      </c>
      <c r="S37" s="5">
        <f>SUM($Q$7:$Q37)/T37+1</f>
        <v>1386330.569354838</v>
      </c>
      <c r="T37" s="18">
        <v>31</v>
      </c>
      <c r="U37" s="27"/>
      <c r="V37" s="137"/>
      <c r="W37" s="105">
        <v>-1273876</v>
      </c>
      <c r="X37" s="167"/>
      <c r="Y37" s="156">
        <f t="shared" si="6"/>
        <v>-1273876</v>
      </c>
      <c r="Z37" s="167"/>
      <c r="AA37" s="92"/>
      <c r="AD37" s="1"/>
      <c r="AE37" s="1"/>
    </row>
    <row r="38" spans="2:31">
      <c r="B38" s="116">
        <v>43435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>
        <f t="shared" si="9"/>
        <v>0</v>
      </c>
      <c r="L38" s="150"/>
      <c r="M38" s="153"/>
      <c r="N38" s="149">
        <f t="shared" si="5"/>
        <v>0</v>
      </c>
      <c r="O38" s="67">
        <f t="shared" si="1"/>
        <v>1217490.5515624993</v>
      </c>
      <c r="P38" s="7">
        <f t="shared" si="3"/>
        <v>38959697.649999976</v>
      </c>
      <c r="Q38" s="164">
        <f t="shared" si="4"/>
        <v>1352519.15</v>
      </c>
      <c r="R38" s="29">
        <f t="shared" si="2"/>
        <v>1092.6416949961344</v>
      </c>
      <c r="S38" s="5">
        <f>SUM($Q$7:$Q38)/T38</f>
        <v>1385272.9937499992</v>
      </c>
      <c r="T38" s="18">
        <v>32</v>
      </c>
      <c r="U38" s="27"/>
      <c r="V38" s="137"/>
      <c r="W38" s="105">
        <v>-1273876</v>
      </c>
      <c r="X38" s="167"/>
      <c r="Y38" s="156">
        <f t="shared" si="6"/>
        <v>-1273876</v>
      </c>
      <c r="Z38" s="167"/>
      <c r="AD38" s="1"/>
      <c r="AE38" s="1"/>
    </row>
    <row r="39" spans="2:31">
      <c r="B39" s="116">
        <v>43436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>
        <f t="shared" si="9"/>
        <v>0</v>
      </c>
      <c r="L39" s="150"/>
      <c r="M39" s="153"/>
      <c r="N39" s="149">
        <f t="shared" si="5"/>
        <v>0</v>
      </c>
      <c r="O39" s="67">
        <f t="shared" si="1"/>
        <v>1217740.4484848478</v>
      </c>
      <c r="P39" s="7">
        <f t="shared" si="3"/>
        <v>40185434.799999975</v>
      </c>
      <c r="Q39" s="164">
        <f t="shared" si="4"/>
        <v>1352519.15</v>
      </c>
      <c r="R39" s="29">
        <f t="shared" si="2"/>
        <v>1091.8604005539446</v>
      </c>
      <c r="S39" s="5">
        <f>SUM($Q$7:$Q39)/T39+2</f>
        <v>1384282.4530303022</v>
      </c>
      <c r="T39" s="18">
        <v>33</v>
      </c>
      <c r="U39" s="27"/>
      <c r="V39" s="137"/>
      <c r="W39" s="105">
        <v>-1273876</v>
      </c>
      <c r="X39" s="167"/>
      <c r="Y39" s="156">
        <f t="shared" si="6"/>
        <v>-1273876</v>
      </c>
      <c r="Z39" s="167"/>
      <c r="AD39" s="1"/>
      <c r="AE39" s="1"/>
    </row>
    <row r="40" spans="2:31">
      <c r="B40" s="116">
        <v>43437</v>
      </c>
      <c r="C40" s="14" t="str">
        <f t="shared" si="0"/>
        <v/>
      </c>
      <c r="D40" s="87"/>
      <c r="E40" s="87">
        <v>254</v>
      </c>
      <c r="F40" s="23">
        <v>-655933</v>
      </c>
      <c r="G40" s="26">
        <f>D40+E40+F40-E37-F37</f>
        <v>-1111</v>
      </c>
      <c r="H40" s="132">
        <v>29200</v>
      </c>
      <c r="I40" s="25">
        <v>-5200</v>
      </c>
      <c r="J40" s="25">
        <v>-1200</v>
      </c>
      <c r="K40" s="63">
        <f t="shared" ref="K40:K44" si="10">SUM(H40:J40)</f>
        <v>22800</v>
      </c>
      <c r="L40" s="150">
        <v>25</v>
      </c>
      <c r="M40" s="153"/>
      <c r="N40" s="149">
        <f t="shared" si="5"/>
        <v>21714</v>
      </c>
      <c r="O40" s="67">
        <f t="shared" si="1"/>
        <v>1218614.3514705875</v>
      </c>
      <c r="P40" s="7">
        <f t="shared" si="3"/>
        <v>41432887.949999973</v>
      </c>
      <c r="Q40" s="164">
        <f>Q39+N40+2</f>
        <v>1374235.15</v>
      </c>
      <c r="R40" s="29">
        <f t="shared" si="2"/>
        <v>1091.6257851597038</v>
      </c>
      <c r="S40" s="5">
        <f>SUM($Q$7:$Q40)/T40</f>
        <v>1383985.0029411756</v>
      </c>
      <c r="T40" s="18">
        <v>34</v>
      </c>
      <c r="U40" s="138">
        <f>B40</f>
        <v>43437</v>
      </c>
      <c r="V40" s="131" t="s">
        <v>240</v>
      </c>
      <c r="W40" s="105">
        <v>-1296701</v>
      </c>
      <c r="X40" s="167">
        <f>AVERAGE(W40:W48)</f>
        <v>-1296625.111111111</v>
      </c>
      <c r="Y40" s="156">
        <f t="shared" si="6"/>
        <v>-1296701</v>
      </c>
      <c r="Z40" s="167">
        <f>AVERAGE(Y40:Y48)</f>
        <v>-1296625</v>
      </c>
      <c r="AD40" s="1"/>
      <c r="AE40" s="1"/>
    </row>
    <row r="41" spans="2:31">
      <c r="B41" s="116">
        <v>43438</v>
      </c>
      <c r="C41" s="14" t="str">
        <f t="shared" si="0"/>
        <v/>
      </c>
      <c r="D41" s="87"/>
      <c r="E41" s="87">
        <v>220</v>
      </c>
      <c r="F41" s="23">
        <v>-656806</v>
      </c>
      <c r="G41" s="26">
        <f>D41+E41+F41-E40-F40</f>
        <v>-907</v>
      </c>
      <c r="H41" s="132">
        <v>-7300</v>
      </c>
      <c r="I41" s="25">
        <v>7100</v>
      </c>
      <c r="J41" s="25">
        <v>-1200</v>
      </c>
      <c r="K41" s="63">
        <f t="shared" si="10"/>
        <v>-1400</v>
      </c>
      <c r="L41" s="150">
        <v>13</v>
      </c>
      <c r="M41" s="153"/>
      <c r="N41" s="149">
        <f>L41+K41+G41+M41</f>
        <v>-2294</v>
      </c>
      <c r="O41" s="67">
        <f t="shared" si="1"/>
        <v>1219372.7457142849</v>
      </c>
      <c r="P41" s="7">
        <f t="shared" si="3"/>
        <v>42678046.099999972</v>
      </c>
      <c r="Q41" s="164">
        <f>Q40+N41-1</f>
        <v>1371940.15</v>
      </c>
      <c r="R41" s="29">
        <f t="shared" si="2"/>
        <v>1091.3559214129084</v>
      </c>
      <c r="S41" s="5">
        <f>SUM($Q$7:$Q41)/T41+2</f>
        <v>1383642.8642857135</v>
      </c>
      <c r="T41" s="18">
        <v>35</v>
      </c>
      <c r="U41" s="138">
        <f>B42+6</f>
        <v>43445</v>
      </c>
      <c r="V41" s="131">
        <v>1335.5</v>
      </c>
      <c r="W41" s="105">
        <v>-1295315</v>
      </c>
      <c r="X41" s="167"/>
      <c r="Y41" s="156">
        <f>Y40-K41-L41</f>
        <v>-1295314</v>
      </c>
      <c r="Z41" s="167"/>
      <c r="AD41" s="1"/>
      <c r="AE41" s="1"/>
    </row>
    <row r="42" spans="2:31">
      <c r="B42" s="116">
        <v>43439</v>
      </c>
      <c r="C42" s="14" t="str">
        <f t="shared" si="0"/>
        <v/>
      </c>
      <c r="D42" s="87">
        <f>-6535+6599</f>
        <v>64</v>
      </c>
      <c r="E42" s="87">
        <v>25</v>
      </c>
      <c r="F42" s="23">
        <v>-657096</v>
      </c>
      <c r="G42" s="26">
        <f>D42+E42+F42-E41-F41</f>
        <v>-421</v>
      </c>
      <c r="H42" s="132">
        <v>-12500</v>
      </c>
      <c r="I42" s="25">
        <v>24700</v>
      </c>
      <c r="J42" s="25">
        <v>-1200</v>
      </c>
      <c r="K42" s="63">
        <f t="shared" si="10"/>
        <v>11000</v>
      </c>
      <c r="L42" s="150">
        <v>4</v>
      </c>
      <c r="M42" s="153"/>
      <c r="N42" s="149">
        <f>L42+K42+G42+M42</f>
        <v>10583</v>
      </c>
      <c r="O42" s="67">
        <f t="shared" si="1"/>
        <v>1220382.9513888881</v>
      </c>
      <c r="P42" s="7">
        <f t="shared" si="3"/>
        <v>43933786.24999997</v>
      </c>
      <c r="Q42" s="164">
        <f>Q41+N42-1</f>
        <v>1382522.15</v>
      </c>
      <c r="R42" s="29">
        <f t="shared" si="2"/>
        <v>1091.3282555006924</v>
      </c>
      <c r="S42" s="5">
        <f>SUM($Q$7:$Q42)/T42-2</f>
        <v>1383607.788888888</v>
      </c>
      <c r="T42" s="18">
        <v>36</v>
      </c>
      <c r="V42" s="131"/>
      <c r="W42" s="105">
        <v>-1306319</v>
      </c>
      <c r="X42" s="167"/>
      <c r="Y42" s="156">
        <f>Y41-K42-L42-1</f>
        <v>-1306319</v>
      </c>
      <c r="Z42" s="167"/>
      <c r="AA42" s="92"/>
      <c r="AD42" s="1"/>
      <c r="AE42" s="1"/>
    </row>
    <row r="43" spans="2:31">
      <c r="B43" s="116">
        <v>43440</v>
      </c>
      <c r="C43" s="14" t="str">
        <f t="shared" si="0"/>
        <v/>
      </c>
      <c r="D43" s="87"/>
      <c r="E43" s="87">
        <v>25</v>
      </c>
      <c r="F43" s="23">
        <v>-662859</v>
      </c>
      <c r="G43" s="26">
        <f>D43+E43+F43-E42-F42</f>
        <v>-5763</v>
      </c>
      <c r="H43" s="132">
        <v>200</v>
      </c>
      <c r="I43" s="25">
        <v>-9500</v>
      </c>
      <c r="J43" s="25">
        <v>-1200</v>
      </c>
      <c r="K43" s="63">
        <f t="shared" si="10"/>
        <v>-10500</v>
      </c>
      <c r="L43" s="150">
        <v>44</v>
      </c>
      <c r="M43" s="153"/>
      <c r="N43" s="149">
        <f t="shared" si="5"/>
        <v>-16219</v>
      </c>
      <c r="O43" s="67">
        <f t="shared" si="1"/>
        <v>1220900.1999999993</v>
      </c>
      <c r="P43" s="7">
        <f t="shared" si="3"/>
        <v>45173307.399999969</v>
      </c>
      <c r="Q43" s="164">
        <f>Q42+N43</f>
        <v>1366303.15</v>
      </c>
      <c r="R43" s="29">
        <f t="shared" si="2"/>
        <v>1090.9601062389702</v>
      </c>
      <c r="S43" s="5">
        <f>SUM($Q$7:$Q43)/T43-1</f>
        <v>1383141.041891891</v>
      </c>
      <c r="T43" s="18">
        <v>37</v>
      </c>
      <c r="V43" s="137"/>
      <c r="W43" s="105">
        <v>-1295863</v>
      </c>
      <c r="X43" s="167"/>
      <c r="Y43" s="156">
        <f t="shared" si="6"/>
        <v>-1295863</v>
      </c>
      <c r="Z43" s="167"/>
      <c r="AA43" s="92"/>
      <c r="AD43" s="1"/>
      <c r="AE43" s="1"/>
    </row>
    <row r="44" spans="2:31">
      <c r="B44" s="116">
        <v>43441</v>
      </c>
      <c r="C44" s="14" t="str">
        <f t="shared" si="0"/>
        <v/>
      </c>
      <c r="D44" s="87"/>
      <c r="E44" s="87">
        <v>40</v>
      </c>
      <c r="F44" s="23">
        <v>-654218</v>
      </c>
      <c r="G44" s="26">
        <f>D44+E44+F44-E43-F43</f>
        <v>8656</v>
      </c>
      <c r="H44" s="132">
        <v>-2900</v>
      </c>
      <c r="I44" s="25">
        <v>4600</v>
      </c>
      <c r="J44" s="25">
        <v>-1200</v>
      </c>
      <c r="K44" s="63">
        <f t="shared" si="10"/>
        <v>500</v>
      </c>
      <c r="L44" s="150">
        <v>1</v>
      </c>
      <c r="M44" s="153"/>
      <c r="N44" s="149">
        <f t="shared" si="5"/>
        <v>9157</v>
      </c>
      <c r="O44" s="67">
        <f t="shared" si="1"/>
        <v>1221631.2249999992</v>
      </c>
      <c r="P44" s="7">
        <f t="shared" si="3"/>
        <v>46421986.549999967</v>
      </c>
      <c r="Q44" s="164">
        <f>Q43+N44+1</f>
        <v>1375461.15</v>
      </c>
      <c r="R44" s="29">
        <f t="shared" si="2"/>
        <v>1090.8006760880044</v>
      </c>
      <c r="S44" s="5">
        <f>SUM($Q$7:$Q44)/T44-1</f>
        <v>1382938.9131578938</v>
      </c>
      <c r="T44" s="18">
        <v>38</v>
      </c>
      <c r="U44" s="27"/>
      <c r="V44" s="137"/>
      <c r="W44" s="105">
        <v>-1296364</v>
      </c>
      <c r="X44" s="167"/>
      <c r="Y44" s="156">
        <f t="shared" si="6"/>
        <v>-1296364</v>
      </c>
      <c r="Z44" s="167"/>
      <c r="AA44" s="92"/>
      <c r="AD44" s="1"/>
      <c r="AE44" s="1"/>
    </row>
    <row r="45" spans="2:31">
      <c r="B45" s="116">
        <v>43442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5"/>
        <v>0</v>
      </c>
      <c r="O45" s="67">
        <f t="shared" si="1"/>
        <v>1222324.7615384606</v>
      </c>
      <c r="P45" s="7">
        <f t="shared" si="3"/>
        <v>47670665.699999966</v>
      </c>
      <c r="Q45" s="164">
        <f t="shared" si="4"/>
        <v>1375461.15</v>
      </c>
      <c r="R45" s="29">
        <f t="shared" si="2"/>
        <v>1090.6502105977181</v>
      </c>
      <c r="S45" s="5">
        <f>SUM($Q$7:$Q45)/T45</f>
        <v>1382748.149999999</v>
      </c>
      <c r="T45" s="18">
        <v>39</v>
      </c>
      <c r="U45" s="27"/>
      <c r="V45" s="137"/>
      <c r="W45" s="105">
        <v>-1296364</v>
      </c>
      <c r="X45" s="167"/>
      <c r="Y45" s="156">
        <f t="shared" si="6"/>
        <v>-1296364</v>
      </c>
      <c r="Z45" s="167"/>
      <c r="AD45" s="1"/>
      <c r="AE45" s="1"/>
    </row>
    <row r="46" spans="2:31">
      <c r="B46" s="116">
        <v>43443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5"/>
        <v>0</v>
      </c>
      <c r="O46" s="67">
        <f t="shared" si="1"/>
        <v>1222983.6212499992</v>
      </c>
      <c r="P46" s="7">
        <f t="shared" si="3"/>
        <v>48919344.849999964</v>
      </c>
      <c r="Q46" s="164">
        <f t="shared" si="4"/>
        <v>1375461.15</v>
      </c>
      <c r="R46" s="29">
        <f t="shared" si="2"/>
        <v>1090.5065190642197</v>
      </c>
      <c r="S46" s="5">
        <f>SUM($Q$7:$Q46)/T46</f>
        <v>1382565.9749999992</v>
      </c>
      <c r="T46" s="18">
        <v>40</v>
      </c>
      <c r="U46" s="27"/>
      <c r="V46" s="137"/>
      <c r="W46" s="105">
        <v>-1296364</v>
      </c>
      <c r="X46" s="167"/>
      <c r="Y46" s="156">
        <f t="shared" si="6"/>
        <v>-1296364</v>
      </c>
      <c r="Z46" s="167"/>
      <c r="AD46" s="1"/>
      <c r="AE46" s="1"/>
    </row>
    <row r="47" spans="2:31">
      <c r="B47" s="116">
        <v>43444</v>
      </c>
      <c r="C47" s="14" t="str">
        <f t="shared" si="0"/>
        <v/>
      </c>
      <c r="D47" s="87"/>
      <c r="E47" s="87">
        <v>69</v>
      </c>
      <c r="F47" s="23">
        <v>-643203</v>
      </c>
      <c r="G47" s="26">
        <f>D47+E47+F47-E44-F44</f>
        <v>11044</v>
      </c>
      <c r="H47" s="132">
        <v>700</v>
      </c>
      <c r="I47" s="25">
        <v>2400</v>
      </c>
      <c r="J47" s="25">
        <v>-800</v>
      </c>
      <c r="K47" s="63">
        <f>SUM(H47:J47)</f>
        <v>2300</v>
      </c>
      <c r="L47" s="150">
        <v>-2</v>
      </c>
      <c r="M47" s="153"/>
      <c r="N47" s="149">
        <f t="shared" si="5"/>
        <v>13342</v>
      </c>
      <c r="O47" s="67">
        <f t="shared" si="1"/>
        <v>1223935.75609756</v>
      </c>
      <c r="P47" s="7">
        <f t="shared" si="3"/>
        <v>50181365.999999963</v>
      </c>
      <c r="Q47" s="164">
        <f t="shared" ref="Q47:Q55" si="11">Q46+N47</f>
        <v>1388803.15</v>
      </c>
      <c r="R47" s="29">
        <f t="shared" si="2"/>
        <v>1090.626509456793</v>
      </c>
      <c r="S47" s="5">
        <f>SUM($Q$7:$Q47)/T47</f>
        <v>1382718.1012195114</v>
      </c>
      <c r="T47" s="18">
        <v>41</v>
      </c>
      <c r="U47" s="138">
        <f>B47</f>
        <v>43444</v>
      </c>
      <c r="V47" s="137" t="s">
        <v>241</v>
      </c>
      <c r="W47" s="105">
        <v>-1298662</v>
      </c>
      <c r="X47" s="167">
        <f>AVERAGE(W47:W55)</f>
        <v>-1270896.6666666667</v>
      </c>
      <c r="Y47" s="156">
        <f t="shared" si="6"/>
        <v>-1298662</v>
      </c>
      <c r="Z47" s="167">
        <f>AVERAGE(Y47:Y55)</f>
        <v>-1270896.6666666667</v>
      </c>
      <c r="AD47" s="1"/>
      <c r="AE47" s="1"/>
    </row>
    <row r="48" spans="2:31" ht="13.7" customHeight="1">
      <c r="B48" s="116">
        <v>43445</v>
      </c>
      <c r="C48" s="14" t="str">
        <f t="shared" si="0"/>
        <v/>
      </c>
      <c r="D48" s="87"/>
      <c r="E48" s="87">
        <v>68</v>
      </c>
      <c r="F48" s="23">
        <v>-656520</v>
      </c>
      <c r="G48" s="26">
        <f>D48+E48+F48-E47-F47</f>
        <v>-13318</v>
      </c>
      <c r="H48" s="132">
        <v>700</v>
      </c>
      <c r="I48" s="25">
        <v>-10800</v>
      </c>
      <c r="J48" s="25">
        <v>-900</v>
      </c>
      <c r="K48" s="63">
        <f>SUM(H48:J48)</f>
        <v>-11000</v>
      </c>
      <c r="L48" s="150">
        <v>12</v>
      </c>
      <c r="M48" s="153"/>
      <c r="N48" s="149">
        <f>L48+K48+G48+M48</f>
        <v>-24306</v>
      </c>
      <c r="O48" s="67">
        <f t="shared" si="1"/>
        <v>1224263.8607142847</v>
      </c>
      <c r="P48" s="7">
        <f t="shared" si="3"/>
        <v>51419082.149999961</v>
      </c>
      <c r="Q48" s="164">
        <f>Q47+N48+1</f>
        <v>1364498.15</v>
      </c>
      <c r="R48" s="29">
        <f t="shared" si="2"/>
        <v>1090.2843407243472</v>
      </c>
      <c r="S48" s="5">
        <f>SUM($Q$7:$Q48)/T48</f>
        <v>1382284.2928571419</v>
      </c>
      <c r="T48" s="18">
        <v>42</v>
      </c>
      <c r="U48" s="138">
        <f>B49+6</f>
        <v>43452</v>
      </c>
      <c r="V48" s="157">
        <v>1355.4</v>
      </c>
      <c r="W48" s="105">
        <v>-1287674</v>
      </c>
      <c r="X48" s="167"/>
      <c r="Y48" s="156">
        <f t="shared" si="6"/>
        <v>-1287674</v>
      </c>
      <c r="Z48" s="167"/>
      <c r="AA48" s="92"/>
      <c r="AD48" s="1"/>
      <c r="AE48" s="1"/>
    </row>
    <row r="49" spans="2:31" ht="13.7" customHeight="1">
      <c r="B49" s="116">
        <v>43446</v>
      </c>
      <c r="C49" s="14" t="str">
        <f t="shared" si="0"/>
        <v/>
      </c>
      <c r="D49" s="87">
        <f>-6599+7097</f>
        <v>498</v>
      </c>
      <c r="E49" s="87">
        <v>75</v>
      </c>
      <c r="F49" s="23">
        <v>-642923</v>
      </c>
      <c r="G49" s="26">
        <f>D49+E49+F49-E48-F48</f>
        <v>14102</v>
      </c>
      <c r="H49" s="132">
        <v>700</v>
      </c>
      <c r="I49" s="25">
        <v>-3100</v>
      </c>
      <c r="J49" s="25">
        <v>-900</v>
      </c>
      <c r="K49" s="63">
        <f t="shared" ref="K49:K51" si="12">SUM(H49:J49)</f>
        <v>-3300</v>
      </c>
      <c r="L49" s="150">
        <v>9</v>
      </c>
      <c r="M49" s="153"/>
      <c r="N49" s="149">
        <f t="shared" ref="N49:N55" si="13">L49+K49+G49+M49</f>
        <v>10811</v>
      </c>
      <c r="O49" s="67">
        <f t="shared" ref="O49:O55" si="14">P49/T49</f>
        <v>1224828.0767441851</v>
      </c>
      <c r="P49" s="7">
        <f t="shared" si="3"/>
        <v>52667607.29999996</v>
      </c>
      <c r="Q49" s="164">
        <f>Q48+N49-2</f>
        <v>1375307.15</v>
      </c>
      <c r="R49" s="29">
        <f t="shared" si="2"/>
        <v>1090.1563579379795</v>
      </c>
      <c r="S49" s="5">
        <f>SUM($Q$7:$Q49)/T49</f>
        <v>1382122.0337209292</v>
      </c>
      <c r="T49" s="18">
        <v>43</v>
      </c>
      <c r="U49" s="138"/>
      <c r="V49" s="157"/>
      <c r="W49" s="105">
        <v>-1284383</v>
      </c>
      <c r="X49" s="167"/>
      <c r="Y49" s="156">
        <f t="shared" si="6"/>
        <v>-1284383</v>
      </c>
      <c r="Z49" s="167"/>
      <c r="AA49" s="92"/>
      <c r="AD49" s="1"/>
      <c r="AE49" s="1"/>
    </row>
    <row r="50" spans="2:31" ht="13.7" customHeight="1">
      <c r="B50" s="116">
        <v>43447</v>
      </c>
      <c r="C50" s="14" t="str">
        <f t="shared" si="0"/>
        <v/>
      </c>
      <c r="D50" s="87"/>
      <c r="E50" s="87">
        <v>52</v>
      </c>
      <c r="F50" s="23">
        <v>-639448</v>
      </c>
      <c r="G50" s="26">
        <f>D50+E50+F50-E49-F49</f>
        <v>3452</v>
      </c>
      <c r="H50" s="132">
        <v>700</v>
      </c>
      <c r="I50" s="25">
        <v>-600</v>
      </c>
      <c r="J50" s="25">
        <v>-900</v>
      </c>
      <c r="K50" s="63">
        <f t="shared" si="12"/>
        <v>-800</v>
      </c>
      <c r="L50" s="150">
        <v>17</v>
      </c>
      <c r="M50" s="153"/>
      <c r="N50" s="149">
        <f t="shared" si="13"/>
        <v>2669</v>
      </c>
      <c r="O50" s="67">
        <f t="shared" si="14"/>
        <v>1225427.3056818172</v>
      </c>
      <c r="P50" s="7">
        <f t="shared" si="3"/>
        <v>53918801.449999958</v>
      </c>
      <c r="Q50" s="164">
        <f t="shared" si="11"/>
        <v>1377976.15</v>
      </c>
      <c r="R50" s="29">
        <f t="shared" si="2"/>
        <v>1090.0820377426671</v>
      </c>
      <c r="S50" s="5">
        <f>SUM($Q$7:$Q50)/T50</f>
        <v>1382027.8090909082</v>
      </c>
      <c r="T50" s="18">
        <v>44</v>
      </c>
      <c r="U50" s="138"/>
      <c r="V50" s="157"/>
      <c r="W50" s="105">
        <v>-1283600</v>
      </c>
      <c r="X50" s="167"/>
      <c r="Y50" s="156">
        <f t="shared" si="6"/>
        <v>-1283600</v>
      </c>
      <c r="Z50" s="167"/>
      <c r="AA50" s="92"/>
      <c r="AD50" s="1"/>
      <c r="AE50" s="1"/>
    </row>
    <row r="51" spans="2:31" ht="13.7" customHeight="1">
      <c r="B51" s="116">
        <v>43448</v>
      </c>
      <c r="C51" s="14" t="str">
        <f t="shared" si="0"/>
        <v/>
      </c>
      <c r="D51" s="87"/>
      <c r="E51" s="87">
        <v>55</v>
      </c>
      <c r="F51" s="23">
        <v>-630848</v>
      </c>
      <c r="G51" s="26">
        <f>D51+E51+F51-E50-F50</f>
        <v>8603</v>
      </c>
      <c r="H51" s="132">
        <v>4900</v>
      </c>
      <c r="I51" s="25">
        <v>-26400</v>
      </c>
      <c r="J51" s="25">
        <v>-900</v>
      </c>
      <c r="K51" s="63">
        <f t="shared" si="12"/>
        <v>-22400</v>
      </c>
      <c r="L51" s="150">
        <v>-37</v>
      </c>
      <c r="M51" s="153"/>
      <c r="N51" s="149">
        <f t="shared" si="13"/>
        <v>-13834</v>
      </c>
      <c r="O51" s="67">
        <f t="shared" si="14"/>
        <v>1225692.5022222213</v>
      </c>
      <c r="P51" s="7">
        <f t="shared" si="3"/>
        <v>55156162.599999957</v>
      </c>
      <c r="Q51" s="164">
        <f>Q50+N51+1</f>
        <v>1364143.15</v>
      </c>
      <c r="R51" s="29">
        <f t="shared" si="2"/>
        <v>1089.7685572259636</v>
      </c>
      <c r="S51" s="5">
        <f>SUM($Q$7:$Q51)/T51</f>
        <v>1381630.3722222212</v>
      </c>
      <c r="T51" s="18">
        <v>45</v>
      </c>
      <c r="U51" s="138"/>
      <c r="V51" s="157"/>
      <c r="W51" s="105">
        <v>-1261163</v>
      </c>
      <c r="X51" s="167"/>
      <c r="Y51" s="156">
        <f t="shared" si="6"/>
        <v>-1261163</v>
      </c>
      <c r="Z51" s="167"/>
      <c r="AA51" s="92"/>
      <c r="AD51" s="1"/>
      <c r="AE51" s="1"/>
    </row>
    <row r="52" spans="2:31" ht="13.7" customHeight="1">
      <c r="B52" s="116">
        <v>43449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63"/>
      <c r="L52" s="150"/>
      <c r="M52" s="153"/>
      <c r="N52" s="149">
        <f t="shared" si="13"/>
        <v>0</v>
      </c>
      <c r="O52" s="67">
        <f t="shared" si="14"/>
        <v>1225946.1684782598</v>
      </c>
      <c r="P52" s="7">
        <f t="shared" si="3"/>
        <v>56393523.749999955</v>
      </c>
      <c r="Q52" s="164">
        <f t="shared" si="11"/>
        <v>1364143.15</v>
      </c>
      <c r="R52" s="29">
        <f t="shared" si="2"/>
        <v>1089.4687062969431</v>
      </c>
      <c r="S52" s="5">
        <f>SUM($Q$7:$Q52)/T52</f>
        <v>1381250.2152173903</v>
      </c>
      <c r="T52" s="18">
        <v>46</v>
      </c>
      <c r="U52" s="138"/>
      <c r="V52" s="157"/>
      <c r="W52" s="105">
        <v>-1261163</v>
      </c>
      <c r="X52" s="167"/>
      <c r="Y52" s="156">
        <f t="shared" si="6"/>
        <v>-1261163</v>
      </c>
      <c r="Z52" s="167"/>
      <c r="AA52" s="92"/>
      <c r="AD52" s="1"/>
      <c r="AE52" s="1"/>
    </row>
    <row r="53" spans="2:31" ht="13.7" customHeight="1">
      <c r="B53" s="116">
        <v>43450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63"/>
      <c r="L53" s="150"/>
      <c r="M53" s="153"/>
      <c r="N53" s="149">
        <f t="shared" si="13"/>
        <v>0</v>
      </c>
      <c r="O53" s="67">
        <f t="shared" si="14"/>
        <v>1226189.0404255309</v>
      </c>
      <c r="P53" s="7">
        <f t="shared" si="3"/>
        <v>57630884.899999954</v>
      </c>
      <c r="Q53" s="164">
        <f t="shared" si="11"/>
        <v>1364143.15</v>
      </c>
      <c r="R53" s="29">
        <f t="shared" si="2"/>
        <v>1089.1816149819233</v>
      </c>
      <c r="S53" s="5">
        <f>SUM($Q$7:$Q53)/T53</f>
        <v>1380886.2351063821</v>
      </c>
      <c r="T53" s="18">
        <v>47</v>
      </c>
      <c r="U53" s="138"/>
      <c r="V53" s="157"/>
      <c r="W53" s="105">
        <v>-1261163</v>
      </c>
      <c r="X53" s="167"/>
      <c r="Y53" s="156">
        <f t="shared" si="6"/>
        <v>-1261163</v>
      </c>
      <c r="Z53" s="167"/>
      <c r="AA53" s="92"/>
      <c r="AD53" s="1"/>
      <c r="AE53" s="1"/>
    </row>
    <row r="54" spans="2:31" ht="13.7" customHeight="1">
      <c r="B54" s="116">
        <v>43451</v>
      </c>
      <c r="C54" s="14" t="str">
        <f t="shared" si="0"/>
        <v/>
      </c>
      <c r="D54" s="87"/>
      <c r="E54" s="87">
        <v>46</v>
      </c>
      <c r="F54" s="23">
        <v>-642674</v>
      </c>
      <c r="G54" s="26">
        <f>D54+E54+F54-E51-F51</f>
        <v>-11835</v>
      </c>
      <c r="H54" s="132">
        <v>700</v>
      </c>
      <c r="I54" s="25">
        <v>-5900</v>
      </c>
      <c r="J54" s="25">
        <v>-2800</v>
      </c>
      <c r="K54" s="63">
        <f t="shared" ref="K54:K55" si="15">SUM(H54:J54)</f>
        <v>-8000</v>
      </c>
      <c r="L54" s="150">
        <v>28</v>
      </c>
      <c r="M54" s="153"/>
      <c r="N54" s="149">
        <f t="shared" si="13"/>
        <v>-19807</v>
      </c>
      <c r="O54" s="67">
        <f t="shared" si="14"/>
        <v>1226009.1260416657</v>
      </c>
      <c r="P54" s="7">
        <f t="shared" si="3"/>
        <v>58848438.049999952</v>
      </c>
      <c r="Q54" s="164">
        <f>Q53+N54-1</f>
        <v>1344335.15</v>
      </c>
      <c r="R54" s="29">
        <f t="shared" si="2"/>
        <v>1088.5809927013818</v>
      </c>
      <c r="S54" s="5">
        <f>SUM($Q$7:$Q54)/T54</f>
        <v>1380124.7541666657</v>
      </c>
      <c r="T54" s="18">
        <v>48</v>
      </c>
      <c r="U54" s="138"/>
      <c r="V54" s="157"/>
      <c r="W54" s="105">
        <v>-1253191</v>
      </c>
      <c r="X54" s="167"/>
      <c r="Y54" s="156">
        <f t="shared" si="6"/>
        <v>-1253191</v>
      </c>
      <c r="Z54" s="167"/>
      <c r="AA54" s="92"/>
      <c r="AD54" s="1"/>
      <c r="AE54" s="1"/>
    </row>
    <row r="55" spans="2:31" ht="13.7" customHeight="1" thickBot="1">
      <c r="B55" s="116">
        <v>43452</v>
      </c>
      <c r="C55" s="14" t="str">
        <f t="shared" si="0"/>
        <v/>
      </c>
      <c r="D55" s="87"/>
      <c r="E55" s="87">
        <v>81</v>
      </c>
      <c r="F55" s="23">
        <v>-635054</v>
      </c>
      <c r="G55" s="26">
        <f>D55+E55+F55-E54-F54</f>
        <v>7655</v>
      </c>
      <c r="H55" s="132">
        <v>-100</v>
      </c>
      <c r="I55" s="25">
        <v>-3200</v>
      </c>
      <c r="J55" s="25">
        <v>-2800</v>
      </c>
      <c r="K55" s="63">
        <f t="shared" si="15"/>
        <v>-6100</v>
      </c>
      <c r="L55" s="150">
        <v>-20</v>
      </c>
      <c r="M55" s="153"/>
      <c r="N55" s="149">
        <f t="shared" si="13"/>
        <v>1535</v>
      </c>
      <c r="O55" s="67">
        <f t="shared" si="14"/>
        <v>1225867.8816326521</v>
      </c>
      <c r="P55" s="7">
        <f t="shared" si="3"/>
        <v>60067526.199999951</v>
      </c>
      <c r="Q55" s="164">
        <f t="shared" si="11"/>
        <v>1345870.15</v>
      </c>
      <c r="R55" s="29">
        <f t="shared" si="2"/>
        <v>1088.0295945893297</v>
      </c>
      <c r="S55" s="5">
        <f>SUM($Q$7:$Q55)/T55</f>
        <v>1379425.6806122439</v>
      </c>
      <c r="T55" s="18">
        <v>49</v>
      </c>
      <c r="U55" s="138"/>
      <c r="V55" s="157"/>
      <c r="W55" s="105">
        <v>-1247071</v>
      </c>
      <c r="X55" s="167"/>
      <c r="Y55" s="156">
        <f t="shared" si="6"/>
        <v>-1247071</v>
      </c>
      <c r="Z55" s="167"/>
      <c r="AA55" s="92"/>
      <c r="AD55" s="1"/>
      <c r="AE55" s="1"/>
    </row>
    <row r="56" spans="2:31" ht="12.75" thickBot="1">
      <c r="B56" s="19" t="s">
        <v>0</v>
      </c>
      <c r="C56" s="15"/>
      <c r="D56" s="130">
        <f>SUM(D14:D55)</f>
        <v>-418</v>
      </c>
      <c r="E56" s="75">
        <f>SUM(E7:E55)</f>
        <v>5117</v>
      </c>
      <c r="F56" s="75">
        <f>SUM(F7:F55)</f>
        <v>-22246133</v>
      </c>
      <c r="G56" s="8"/>
      <c r="H56" s="8">
        <f>SUM(H7:H48)</f>
        <v>8400</v>
      </c>
      <c r="I56" s="8">
        <f>SUM(I7:I48)</f>
        <v>29850</v>
      </c>
      <c r="J56" s="8">
        <f>SUM(J7:J48)</f>
        <v>-13300</v>
      </c>
      <c r="K56" s="8"/>
      <c r="L56" s="8"/>
      <c r="M56" s="8"/>
      <c r="N56" s="68">
        <f>SUM(N7:N35)</f>
        <v>-23933</v>
      </c>
    </row>
    <row r="57" spans="2:31" ht="13.5" thickTop="1" thickBot="1">
      <c r="B57" s="31"/>
      <c r="C57" s="30"/>
      <c r="D57" s="141" t="s">
        <v>58</v>
      </c>
      <c r="E57" s="20"/>
      <c r="F57" s="21"/>
      <c r="G57" s="22"/>
      <c r="H57" s="10"/>
      <c r="I57" s="10"/>
      <c r="J57" s="10"/>
      <c r="K57" s="10"/>
      <c r="L57" s="10"/>
      <c r="M57" s="10"/>
      <c r="N57" s="9"/>
    </row>
    <row r="58" spans="2:31">
      <c r="D58" s="27" t="s">
        <v>59</v>
      </c>
      <c r="E58" s="139"/>
      <c r="F58" s="142"/>
      <c r="G58" s="90">
        <f>'Oct 2018'!Q48</f>
        <v>1385663.15</v>
      </c>
      <c r="H58" s="11"/>
      <c r="I58" s="11"/>
      <c r="J58" s="11"/>
      <c r="K58" s="12"/>
      <c r="L58" s="12"/>
      <c r="M58" s="12"/>
      <c r="N58" s="4"/>
    </row>
    <row r="59" spans="2:31">
      <c r="D59" s="138" t="s">
        <v>4</v>
      </c>
      <c r="E59" s="139"/>
      <c r="F59" s="143"/>
      <c r="G59" s="91">
        <f>'Oct 2018'!E48</f>
        <v>1</v>
      </c>
      <c r="H59" s="13"/>
      <c r="I59" s="13"/>
      <c r="J59" s="13"/>
      <c r="K59" s="13"/>
      <c r="L59" s="13"/>
      <c r="M59" s="13"/>
      <c r="N59" s="6"/>
    </row>
    <row r="60" spans="2:31">
      <c r="D60" s="138" t="s">
        <v>60</v>
      </c>
      <c r="E60" s="144"/>
      <c r="F60" s="143"/>
      <c r="G60" s="91">
        <f>'Oct 2018'!F48</f>
        <v>-610028</v>
      </c>
      <c r="H60" s="13"/>
      <c r="I60" s="13"/>
      <c r="J60" s="13"/>
      <c r="K60" s="13"/>
      <c r="L60" s="13"/>
      <c r="M60" s="13"/>
      <c r="N60" s="6"/>
    </row>
    <row r="61" spans="2:31" ht="12.75" thickBot="1">
      <c r="D61" s="140" t="s">
        <v>46</v>
      </c>
      <c r="E61" s="145"/>
      <c r="F61" s="146"/>
      <c r="G61" s="158">
        <f>'Oct 2018'!Y48</f>
        <v>-1262518</v>
      </c>
      <c r="H61" s="13"/>
      <c r="I61" s="13"/>
      <c r="J61" s="13"/>
      <c r="K61" s="13"/>
      <c r="L61" s="13"/>
      <c r="M61" s="95"/>
      <c r="N61" s="6"/>
    </row>
    <row r="62" spans="2:31" ht="12.75" thickTop="1"/>
    <row r="65524" spans="23:23">
      <c r="W65524" s="105"/>
    </row>
    <row r="65531" spans="23:23">
      <c r="W65531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906C-5371-4D15-A054-694F190C3C6B}">
  <sheetPr codeName="Sheet22">
    <pageSetUpPr fitToPage="1"/>
  </sheetPr>
  <dimension ref="B1:IU65513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146471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44223</v>
      </c>
      <c r="C7" s="196" t="str">
        <f t="shared" ref="C7:C49" si="0">IF(OR(WEEKDAY(B7)=1,WEEKDAY(B7)=7),"F","")</f>
        <v/>
      </c>
      <c r="D7" s="197">
        <f>-234+236</f>
        <v>2</v>
      </c>
      <c r="E7" s="197">
        <v>0</v>
      </c>
      <c r="F7" s="198">
        <v>-449300</v>
      </c>
      <c r="G7" s="199">
        <f>D7+E7+F7-G60-G61</f>
        <v>164609</v>
      </c>
      <c r="H7" s="132">
        <v>300</v>
      </c>
      <c r="I7" s="63">
        <v>-5640</v>
      </c>
      <c r="J7" s="63">
        <v>-100</v>
      </c>
      <c r="K7" s="168">
        <f>+H7+I7+J7+184</f>
        <v>-5256</v>
      </c>
      <c r="L7" s="169">
        <v>-2</v>
      </c>
      <c r="M7" s="203"/>
      <c r="N7" s="204">
        <f>L7+K7+G7+M7</f>
        <v>159351</v>
      </c>
      <c r="O7" s="205">
        <f t="shared" ref="O7:O49" si="1">P7/T7</f>
        <v>3079799.45</v>
      </c>
      <c r="P7" s="206">
        <f>(+$Q7-$Q$3)</f>
        <v>3079799.45</v>
      </c>
      <c r="Q7" s="207">
        <f>G59+N7</f>
        <v>3226270.45</v>
      </c>
      <c r="R7" s="208">
        <f t="shared" ref="R7:R55" si="2">$S7/$Q$3*100</f>
        <v>2202.6684121771546</v>
      </c>
      <c r="S7" s="209">
        <f>$Q7</f>
        <v>3226270.45</v>
      </c>
      <c r="T7" s="210">
        <v>1</v>
      </c>
      <c r="U7" s="211">
        <f>B7</f>
        <v>44223</v>
      </c>
      <c r="V7" s="212">
        <v>1817.2</v>
      </c>
      <c r="W7" s="213">
        <v>-1882776</v>
      </c>
      <c r="X7" s="214">
        <f>AVERAGE(W7:W11)</f>
        <v>-1889416.2</v>
      </c>
      <c r="Y7" s="215">
        <f>G62-K7+2</f>
        <v>-1882760</v>
      </c>
      <c r="Z7" s="216">
        <f>AVERAGE(Y7:Y13)</f>
        <v>-1902602.7142857143</v>
      </c>
      <c r="AA7" s="92"/>
    </row>
    <row r="8" spans="2:255">
      <c r="B8" s="116">
        <v>44224</v>
      </c>
      <c r="C8" s="14"/>
      <c r="D8" s="128">
        <f>-92+6</f>
        <v>-86</v>
      </c>
      <c r="E8" s="128">
        <v>0</v>
      </c>
      <c r="F8" s="162">
        <v>-446204</v>
      </c>
      <c r="G8" s="26">
        <f>D8+E8+F8-E7-F7</f>
        <v>3010</v>
      </c>
      <c r="H8" s="132">
        <v>300</v>
      </c>
      <c r="I8" s="63">
        <v>-4500</v>
      </c>
      <c r="J8" s="63">
        <v>-200</v>
      </c>
      <c r="K8" s="170">
        <f t="shared" ref="K8:K9" si="3">+H8+I8+J8</f>
        <v>-4400</v>
      </c>
      <c r="L8" s="171">
        <v>-26</v>
      </c>
      <c r="M8" s="153"/>
      <c r="N8" s="149">
        <f>L8+K8+G8+M8</f>
        <v>-1416</v>
      </c>
      <c r="O8" s="67">
        <f t="shared" si="1"/>
        <v>1539191.7250000001</v>
      </c>
      <c r="P8" s="163">
        <f>(IF($Q8&lt;0,-$Q$3+P6,($Q8-$Q$3)+P6))</f>
        <v>3078383.45</v>
      </c>
      <c r="Q8" s="164">
        <f>Q7+N8</f>
        <v>3224854.45</v>
      </c>
      <c r="R8" s="29">
        <f t="shared" si="2"/>
        <v>2202.1850400420562</v>
      </c>
      <c r="S8" s="165">
        <f>SUM($Q$7:$Q8)/T8</f>
        <v>3225562.45</v>
      </c>
      <c r="T8" s="166">
        <v>2</v>
      </c>
      <c r="U8" s="138">
        <f>B7+6</f>
        <v>44229</v>
      </c>
      <c r="V8" s="131"/>
      <c r="W8" s="105">
        <v>-1878534</v>
      </c>
      <c r="X8" s="167"/>
      <c r="Y8" s="156">
        <f>Y7-K8-L8</f>
        <v>-1878334</v>
      </c>
      <c r="Z8" s="217"/>
      <c r="AA8" s="92"/>
    </row>
    <row r="9" spans="2:255">
      <c r="B9" s="116">
        <v>44225</v>
      </c>
      <c r="C9" s="14" t="str">
        <f t="shared" si="0"/>
        <v/>
      </c>
      <c r="D9" s="87"/>
      <c r="E9" s="87">
        <v>0</v>
      </c>
      <c r="F9" s="23">
        <v>-456424</v>
      </c>
      <c r="G9" s="26">
        <f>D9+E9+F9-E8-F8</f>
        <v>-10220</v>
      </c>
      <c r="H9" s="132">
        <v>300</v>
      </c>
      <c r="I9" s="63">
        <v>16600</v>
      </c>
      <c r="J9" s="63">
        <v>-200</v>
      </c>
      <c r="K9" s="170">
        <f t="shared" si="3"/>
        <v>16700</v>
      </c>
      <c r="L9" s="171">
        <v>21</v>
      </c>
      <c r="M9" s="153"/>
      <c r="N9" s="149">
        <f>L9+K9+G9+M9</f>
        <v>6501</v>
      </c>
      <c r="O9" s="67">
        <f t="shared" si="1"/>
        <v>2054895.6333333335</v>
      </c>
      <c r="P9" s="7">
        <f>(IF($Q9&lt;0,-$Q$3+P7,($Q9-$Q$3)+P7))</f>
        <v>6164686.9000000004</v>
      </c>
      <c r="Q9" s="164">
        <f>Q8+N9+3</f>
        <v>3231358.45</v>
      </c>
      <c r="R9" s="29">
        <f t="shared" si="2"/>
        <v>2203.5047552075162</v>
      </c>
      <c r="S9" s="5">
        <f>SUM($Q$7:$Q9)/T9+1</f>
        <v>3227495.4500000007</v>
      </c>
      <c r="T9" s="17">
        <v>3</v>
      </c>
      <c r="U9" s="4"/>
      <c r="V9" s="131"/>
      <c r="W9" s="105">
        <v>-1895257</v>
      </c>
      <c r="X9" s="167"/>
      <c r="Y9" s="156">
        <f>Y8-K9-L9-2</f>
        <v>-1895057</v>
      </c>
      <c r="Z9" s="217"/>
      <c r="AA9" s="92"/>
    </row>
    <row r="10" spans="2:255">
      <c r="B10" s="116">
        <v>44226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1"/>
        <v>2312393.5875000004</v>
      </c>
      <c r="P10" s="7">
        <f t="shared" ref="P10:P55" si="4">(IF($Q10&lt;0,-$Q$3+P9,($Q10-$Q$3)+P9))</f>
        <v>9249574.3500000015</v>
      </c>
      <c r="Q10" s="164">
        <f t="shared" ref="Q10:Q18" si="5">Q9+N10</f>
        <v>3231358.45</v>
      </c>
      <c r="R10" s="29">
        <f t="shared" si="2"/>
        <v>2204.1629059677343</v>
      </c>
      <c r="S10" s="5">
        <f>SUM($Q$7:$Q10)/T10-1</f>
        <v>3228459.45</v>
      </c>
      <c r="T10" s="17">
        <v>4</v>
      </c>
      <c r="U10" s="27"/>
      <c r="V10" s="133"/>
      <c r="W10" s="105">
        <v>-1895257</v>
      </c>
      <c r="X10" s="167"/>
      <c r="Y10" s="156">
        <f>Y9-K10-L10</f>
        <v>-1895057</v>
      </c>
      <c r="Z10" s="217"/>
      <c r="AA10" s="92"/>
    </row>
    <row r="11" spans="2:255">
      <c r="B11" s="116">
        <v>44227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9" si="6">L11+K11+G11+M11</f>
        <v>0</v>
      </c>
      <c r="O11" s="67">
        <f t="shared" si="1"/>
        <v>2466892.3600000003</v>
      </c>
      <c r="P11" s="7">
        <f t="shared" si="4"/>
        <v>12334461.800000001</v>
      </c>
      <c r="Q11" s="164">
        <f t="shared" si="5"/>
        <v>3231358.45</v>
      </c>
      <c r="R11" s="29">
        <f t="shared" si="2"/>
        <v>2204.5586156986706</v>
      </c>
      <c r="S11" s="5">
        <f>SUM($Q$7:$Q11)/T11-1</f>
        <v>3229039.05</v>
      </c>
      <c r="T11" s="17">
        <v>5</v>
      </c>
      <c r="U11" s="27"/>
      <c r="V11" s="134"/>
      <c r="W11" s="105">
        <v>-1895257</v>
      </c>
      <c r="X11" s="167"/>
      <c r="Y11" s="156">
        <f t="shared" ref="Y11:Y39" si="7">Y10-K11-L11</f>
        <v>-1895057</v>
      </c>
      <c r="Z11" s="217"/>
      <c r="AA11" s="92"/>
    </row>
    <row r="12" spans="2:255">
      <c r="B12" s="116">
        <v>44228</v>
      </c>
      <c r="C12" s="14" t="str">
        <f t="shared" si="0"/>
        <v/>
      </c>
      <c r="D12" s="87"/>
      <c r="E12" s="161">
        <v>0</v>
      </c>
      <c r="F12" s="23">
        <v>-481933</v>
      </c>
      <c r="G12" s="26">
        <f>D12+E12+F12-E9-F9</f>
        <v>-25509</v>
      </c>
      <c r="H12" s="132">
        <v>10300</v>
      </c>
      <c r="I12" s="63">
        <v>29400</v>
      </c>
      <c r="J12" s="63">
        <v>-300</v>
      </c>
      <c r="K12" s="170">
        <f t="shared" ref="K12:K49" si="8">+H12+I12+J12</f>
        <v>39400</v>
      </c>
      <c r="L12" s="171">
        <v>-38</v>
      </c>
      <c r="M12" s="153"/>
      <c r="N12" s="149">
        <f t="shared" si="6"/>
        <v>13853</v>
      </c>
      <c r="O12" s="67">
        <f t="shared" si="1"/>
        <v>2572200.2083333335</v>
      </c>
      <c r="P12" s="7">
        <f t="shared" si="4"/>
        <v>15433201.25</v>
      </c>
      <c r="Q12" s="164">
        <f>Q11+N12-1</f>
        <v>3245210.45</v>
      </c>
      <c r="R12" s="29">
        <f t="shared" si="2"/>
        <v>2206.404077712767</v>
      </c>
      <c r="S12" s="5">
        <f>SUM($Q$7:$Q12)/T12+7</f>
        <v>3231742.1166666667</v>
      </c>
      <c r="T12" s="17">
        <v>6</v>
      </c>
      <c r="U12" s="138">
        <f>B13</f>
        <v>44229</v>
      </c>
      <c r="V12" s="131">
        <v>1800</v>
      </c>
      <c r="W12" s="105">
        <v>-1934618</v>
      </c>
      <c r="X12" s="167">
        <f>AVERAGE(W12:W20)</f>
        <v>-1940979.7777777778</v>
      </c>
      <c r="Y12" s="156">
        <f>Y11-K12-L12+1</f>
        <v>-1934418</v>
      </c>
      <c r="Z12" s="217">
        <f>AVERAGE(Y12:Y20)</f>
        <v>-1940779.7777777778</v>
      </c>
      <c r="AA12" s="92"/>
    </row>
    <row r="13" spans="2:255">
      <c r="B13" s="116">
        <v>44229</v>
      </c>
      <c r="C13" s="14"/>
      <c r="D13" s="87"/>
      <c r="E13" s="87">
        <v>0</v>
      </c>
      <c r="F13" s="23">
        <v>-481098</v>
      </c>
      <c r="G13" s="26">
        <f>D13+E13+F13-E12-F12</f>
        <v>835</v>
      </c>
      <c r="H13" s="132">
        <v>300</v>
      </c>
      <c r="I13" s="63">
        <v>3200</v>
      </c>
      <c r="J13" s="63">
        <v>-400</v>
      </c>
      <c r="K13" s="170">
        <f t="shared" si="8"/>
        <v>3100</v>
      </c>
      <c r="L13" s="171">
        <v>17</v>
      </c>
      <c r="M13" s="153"/>
      <c r="N13" s="149">
        <f t="shared" si="6"/>
        <v>3952</v>
      </c>
      <c r="O13" s="67">
        <f t="shared" si="1"/>
        <v>2647984.6714285715</v>
      </c>
      <c r="P13" s="7">
        <f>(IF($Q13&lt;0,-$Q$3+P12,($Q13-$Q$3)+P12))</f>
        <v>18535892.699999999</v>
      </c>
      <c r="Q13" s="164">
        <f>Q12+N13</f>
        <v>3249162.45</v>
      </c>
      <c r="R13" s="29">
        <f t="shared" si="2"/>
        <v>2208.1031301174198</v>
      </c>
      <c r="S13" s="5">
        <f>SUM($Q$7:$Q13)/T13+6</f>
        <v>3234230.7357142856</v>
      </c>
      <c r="T13" s="17">
        <v>7</v>
      </c>
      <c r="U13" s="138">
        <f>B14+6</f>
        <v>44236</v>
      </c>
      <c r="V13" s="249"/>
      <c r="W13" s="105">
        <v>-1937736</v>
      </c>
      <c r="X13" s="167"/>
      <c r="Y13" s="156">
        <f>Y12-K13-L13-1</f>
        <v>-1937536</v>
      </c>
      <c r="Z13" s="217"/>
      <c r="AA13" s="92"/>
      <c r="AB13" s="92"/>
    </row>
    <row r="14" spans="2:255">
      <c r="B14" s="116">
        <v>44230</v>
      </c>
      <c r="C14" s="14"/>
      <c r="D14" s="87">
        <f>-236+157</f>
        <v>-79</v>
      </c>
      <c r="E14" s="87">
        <v>0</v>
      </c>
      <c r="F14" s="23">
        <v>-478858</v>
      </c>
      <c r="G14" s="26">
        <f>D14+E14+F14-E13-F13</f>
        <v>2161</v>
      </c>
      <c r="H14" s="132">
        <v>300</v>
      </c>
      <c r="I14" s="63">
        <v>8000</v>
      </c>
      <c r="J14" s="63">
        <v>-400</v>
      </c>
      <c r="K14" s="170">
        <f t="shared" si="8"/>
        <v>7900</v>
      </c>
      <c r="L14" s="171">
        <v>-44</v>
      </c>
      <c r="M14" s="154"/>
      <c r="N14" s="149">
        <f>L14+K14+G14+M14</f>
        <v>10017</v>
      </c>
      <c r="O14" s="67">
        <f t="shared" si="1"/>
        <v>2706074.7687499998</v>
      </c>
      <c r="P14" s="7">
        <f t="shared" si="4"/>
        <v>21648598.149999999</v>
      </c>
      <c r="Q14" s="164">
        <f>Q13+N14-3</f>
        <v>3259176.45</v>
      </c>
      <c r="R14" s="29">
        <f t="shared" si="2"/>
        <v>2210.2277583958594</v>
      </c>
      <c r="S14" s="5">
        <f>SUM($Q$7:$Q14)/T14-1</f>
        <v>3237342.6999999997</v>
      </c>
      <c r="T14" s="17">
        <v>8</v>
      </c>
      <c r="U14" s="4"/>
      <c r="V14" s="4"/>
      <c r="W14" s="105">
        <v>-1945590</v>
      </c>
      <c r="X14" s="167"/>
      <c r="Y14" s="156">
        <f>Y13-K14-L14+2</f>
        <v>-1945390</v>
      </c>
      <c r="Z14" s="217"/>
      <c r="AA14" s="92"/>
    </row>
    <row r="15" spans="2:255">
      <c r="B15" s="116">
        <v>44231</v>
      </c>
      <c r="C15" s="14" t="str">
        <f t="shared" si="0"/>
        <v/>
      </c>
      <c r="D15" s="87"/>
      <c r="E15" s="87">
        <v>827</v>
      </c>
      <c r="F15" s="23">
        <v>-475147</v>
      </c>
      <c r="G15" s="26">
        <f>D15+E15+F15-E14-F14</f>
        <v>4538</v>
      </c>
      <c r="H15" s="132">
        <v>300</v>
      </c>
      <c r="I15" s="63">
        <v>-5300</v>
      </c>
      <c r="J15" s="63">
        <v>-400</v>
      </c>
      <c r="K15" s="170">
        <f t="shared" si="8"/>
        <v>-5400</v>
      </c>
      <c r="L15" s="172">
        <v>-32</v>
      </c>
      <c r="M15" s="153"/>
      <c r="N15" s="149">
        <f>L15+K15+G15+M15</f>
        <v>-894</v>
      </c>
      <c r="O15" s="67">
        <f t="shared" si="1"/>
        <v>2751156.7333333329</v>
      </c>
      <c r="P15" s="7">
        <f t="shared" si="4"/>
        <v>24760410.599999998</v>
      </c>
      <c r="Q15" s="164">
        <f>Q14+N15+1</f>
        <v>3258283.45</v>
      </c>
      <c r="R15" s="29">
        <f t="shared" si="2"/>
        <v>2211.8203186220403</v>
      </c>
      <c r="S15" s="5">
        <f>SUM($Q$7:$Q15)/T15+5</f>
        <v>3239675.3388888887</v>
      </c>
      <c r="T15" s="17">
        <v>9</v>
      </c>
      <c r="U15" s="4"/>
      <c r="V15" s="4"/>
      <c r="W15" s="105">
        <v>-1940159</v>
      </c>
      <c r="X15" s="167"/>
      <c r="Y15" s="156">
        <f>Y14-K15-L15-1</f>
        <v>-1939959</v>
      </c>
      <c r="Z15" s="217"/>
      <c r="AA15" s="92"/>
      <c r="AB15" s="92"/>
    </row>
    <row r="16" spans="2:255" s="69" customFormat="1">
      <c r="B16" s="116">
        <v>44232</v>
      </c>
      <c r="C16" s="14"/>
      <c r="D16" s="129"/>
      <c r="E16" s="87">
        <v>0</v>
      </c>
      <c r="F16" s="23">
        <v>-525841</v>
      </c>
      <c r="G16" s="26">
        <f>D16+E16+F16-E15-F15</f>
        <v>-51521</v>
      </c>
      <c r="H16" s="132">
        <v>300</v>
      </c>
      <c r="I16" s="63">
        <v>2700</v>
      </c>
      <c r="J16" s="63">
        <v>-400</v>
      </c>
      <c r="K16" s="170">
        <f t="shared" si="8"/>
        <v>2600</v>
      </c>
      <c r="L16" s="172">
        <v>32</v>
      </c>
      <c r="M16" s="153"/>
      <c r="N16" s="152">
        <f>L16+K16+G16+M16</f>
        <v>-48889</v>
      </c>
      <c r="O16" s="67">
        <f t="shared" si="1"/>
        <v>2782333.4049999998</v>
      </c>
      <c r="P16" s="70">
        <f t="shared" si="4"/>
        <v>27823334.049999997</v>
      </c>
      <c r="Q16" s="164">
        <f>Q15+N16</f>
        <v>3209394.45</v>
      </c>
      <c r="R16" s="71">
        <f t="shared" si="2"/>
        <v>2209.7498822292464</v>
      </c>
      <c r="S16" s="72">
        <f>SUM($Q$7:$Q16)/T16</f>
        <v>3236642.7499999995</v>
      </c>
      <c r="T16" s="73">
        <v>10</v>
      </c>
      <c r="U16" s="218"/>
      <c r="V16" s="133"/>
      <c r="W16" s="105">
        <v>-1942791</v>
      </c>
      <c r="X16" s="167"/>
      <c r="Y16" s="156">
        <f>Y15-K16-L16</f>
        <v>-1942591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44233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2807841.5909090904</v>
      </c>
      <c r="P17" s="7">
        <f t="shared" si="4"/>
        <v>30886257.499999996</v>
      </c>
      <c r="Q17" s="164">
        <f t="shared" si="5"/>
        <v>3209394.45</v>
      </c>
      <c r="R17" s="29">
        <f t="shared" si="2"/>
        <v>2208.0586817992512</v>
      </c>
      <c r="S17" s="5">
        <f>SUM($Q$7:$Q17)/T17</f>
        <v>3234165.6318181814</v>
      </c>
      <c r="T17" s="18">
        <v>11</v>
      </c>
      <c r="U17" s="27"/>
      <c r="V17" s="136"/>
      <c r="W17" s="105">
        <v>-1942791</v>
      </c>
      <c r="X17" s="167"/>
      <c r="Y17" s="156">
        <f t="shared" si="7"/>
        <v>-1942591</v>
      </c>
      <c r="Z17" s="217"/>
      <c r="AA17" s="92"/>
      <c r="AC17" s="92"/>
    </row>
    <row r="18" spans="2:31">
      <c r="B18" s="116">
        <v>44234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2829098.4124999996</v>
      </c>
      <c r="P18" s="7">
        <f t="shared" si="4"/>
        <v>33949180.949999996</v>
      </c>
      <c r="Q18" s="164">
        <f t="shared" si="5"/>
        <v>3209394.45</v>
      </c>
      <c r="R18" s="29">
        <f t="shared" si="2"/>
        <v>2206.6486653785846</v>
      </c>
      <c r="S18" s="5">
        <f>SUM($Q$7:$Q18)/T18-1</f>
        <v>3232100.3666666667</v>
      </c>
      <c r="T18" s="18">
        <v>12</v>
      </c>
      <c r="U18" s="27"/>
      <c r="V18" s="136"/>
      <c r="W18" s="105">
        <v>-1942791</v>
      </c>
      <c r="X18" s="167"/>
      <c r="Y18" s="156">
        <f t="shared" si="7"/>
        <v>-1942591</v>
      </c>
      <c r="Z18" s="217"/>
      <c r="AA18" s="92"/>
    </row>
    <row r="19" spans="2:31">
      <c r="B19" s="116">
        <v>44235</v>
      </c>
      <c r="C19" s="14" t="str">
        <f t="shared" si="0"/>
        <v/>
      </c>
      <c r="D19" s="87"/>
      <c r="E19" s="87">
        <v>0</v>
      </c>
      <c r="F19" s="23">
        <v>-566465</v>
      </c>
      <c r="G19" s="26">
        <f>D19+E19+F19-E16-F16</f>
        <v>-40624</v>
      </c>
      <c r="H19" s="132">
        <v>300</v>
      </c>
      <c r="I19" s="63">
        <v>-4100</v>
      </c>
      <c r="J19" s="63">
        <v>-400</v>
      </c>
      <c r="K19" s="170">
        <f t="shared" si="8"/>
        <v>-4200</v>
      </c>
      <c r="L19" s="171">
        <v>37</v>
      </c>
      <c r="M19" s="153"/>
      <c r="N19" s="149">
        <f t="shared" si="6"/>
        <v>-44787</v>
      </c>
      <c r="O19" s="67">
        <f t="shared" si="1"/>
        <v>2843639.8769230768</v>
      </c>
      <c r="P19" s="7">
        <f t="shared" si="4"/>
        <v>36967318.399999999</v>
      </c>
      <c r="Q19" s="164">
        <f>Q18+N19+1</f>
        <v>3164608.45</v>
      </c>
      <c r="R19" s="29">
        <f t="shared" si="2"/>
        <v>2203.1040983171783</v>
      </c>
      <c r="S19" s="5">
        <f>SUM($Q$7:$Q19)/T19-1</f>
        <v>3226908.6038461542</v>
      </c>
      <c r="T19" s="18">
        <v>13</v>
      </c>
      <c r="U19" s="138">
        <f>B19</f>
        <v>44235</v>
      </c>
      <c r="V19" s="131">
        <v>1828.6</v>
      </c>
      <c r="W19" s="105">
        <v>-1938630</v>
      </c>
      <c r="X19" s="167">
        <f>AVERAGE(W19:W27)</f>
        <v>-1940945.6666666667</v>
      </c>
      <c r="Y19" s="156">
        <f>Y18-K19-L19-2</f>
        <v>-1938430</v>
      </c>
      <c r="Z19" s="217">
        <f>AVERAGE(Y20:Y27)</f>
        <v>-1941185.125</v>
      </c>
      <c r="AA19" s="92"/>
    </row>
    <row r="20" spans="2:31">
      <c r="B20" s="116">
        <v>44236</v>
      </c>
      <c r="C20" s="14"/>
      <c r="D20" s="87"/>
      <c r="E20" s="87">
        <v>0</v>
      </c>
      <c r="F20" s="23">
        <v>-565543</v>
      </c>
      <c r="G20" s="26">
        <f>D20+E20+F20-E19-F19</f>
        <v>922</v>
      </c>
      <c r="H20" s="132">
        <v>300</v>
      </c>
      <c r="I20" s="63">
        <v>5200</v>
      </c>
      <c r="J20" s="63">
        <v>-400</v>
      </c>
      <c r="K20" s="170">
        <f t="shared" si="8"/>
        <v>5100</v>
      </c>
      <c r="L20" s="171">
        <v>-19</v>
      </c>
      <c r="M20" s="153"/>
      <c r="N20" s="149">
        <f t="shared" si="6"/>
        <v>6003</v>
      </c>
      <c r="O20" s="67">
        <f t="shared" si="1"/>
        <v>2856532.9892857145</v>
      </c>
      <c r="P20" s="7">
        <f t="shared" si="4"/>
        <v>39991461.850000001</v>
      </c>
      <c r="Q20" s="164">
        <f>Q19+N20+3</f>
        <v>3170614.45</v>
      </c>
      <c r="R20" s="29">
        <f t="shared" si="2"/>
        <v>2200.3587887217068</v>
      </c>
      <c r="S20" s="5">
        <f>SUM($Q$7:$Q20)/T20-1</f>
        <v>3222887.5214285715</v>
      </c>
      <c r="T20" s="18">
        <v>14</v>
      </c>
      <c r="U20" s="138">
        <f>B19+8</f>
        <v>44243</v>
      </c>
      <c r="V20" s="131"/>
      <c r="W20" s="105">
        <v>-1943712</v>
      </c>
      <c r="X20" s="167"/>
      <c r="Y20" s="156">
        <f>Y19-K20-L20-1</f>
        <v>-1943512</v>
      </c>
      <c r="Z20" s="217"/>
      <c r="AA20" s="92"/>
      <c r="AB20" s="92"/>
    </row>
    <row r="21" spans="2:31">
      <c r="B21" s="116">
        <v>44237</v>
      </c>
      <c r="C21" s="14" t="str">
        <f t="shared" si="0"/>
        <v/>
      </c>
      <c r="D21" s="87">
        <f>-157+427</f>
        <v>270</v>
      </c>
      <c r="E21" s="87">
        <v>0</v>
      </c>
      <c r="F21" s="23">
        <v>-624030</v>
      </c>
      <c r="G21" s="26">
        <f>D21+E21+F21-E20-F20</f>
        <v>-58217</v>
      </c>
      <c r="H21" s="132">
        <v>300</v>
      </c>
      <c r="I21" s="63">
        <v>400</v>
      </c>
      <c r="J21" s="63">
        <v>-400</v>
      </c>
      <c r="K21" s="170">
        <f t="shared" si="8"/>
        <v>300</v>
      </c>
      <c r="L21" s="171">
        <v>-26</v>
      </c>
      <c r="M21" s="153"/>
      <c r="N21" s="149">
        <f>L21+K21+G21+M21</f>
        <v>-57943</v>
      </c>
      <c r="O21" s="67">
        <f t="shared" si="1"/>
        <v>2863844.22</v>
      </c>
      <c r="P21" s="7">
        <f t="shared" si="4"/>
        <v>42957663.300000004</v>
      </c>
      <c r="Q21" s="164">
        <f>Q20+N21+1</f>
        <v>3112672.45</v>
      </c>
      <c r="R21" s="29">
        <f t="shared" si="2"/>
        <v>2195.3422748075277</v>
      </c>
      <c r="S21" s="5">
        <f>SUM($Q$7:$Q21)/T21-1</f>
        <v>3215539.7833333337</v>
      </c>
      <c r="T21" s="18">
        <v>15</v>
      </c>
      <c r="U21" s="4"/>
      <c r="V21" s="131"/>
      <c r="W21" s="105">
        <v>-1943986</v>
      </c>
      <c r="X21" s="167"/>
      <c r="Y21" s="156">
        <f>Y20-K21-L21</f>
        <v>-1943786</v>
      </c>
      <c r="Z21" s="217"/>
      <c r="AA21" s="92"/>
    </row>
    <row r="22" spans="2:31">
      <c r="B22" s="116">
        <v>44238</v>
      </c>
      <c r="C22" s="14" t="str">
        <f t="shared" si="0"/>
        <v/>
      </c>
      <c r="D22" s="87"/>
      <c r="E22" s="87">
        <v>21</v>
      </c>
      <c r="F22" s="23">
        <v>-615119</v>
      </c>
      <c r="G22" s="26">
        <f>D22+E22+F22-E21-F21</f>
        <v>8932</v>
      </c>
      <c r="H22" s="132">
        <v>300</v>
      </c>
      <c r="I22" s="63">
        <v>-1000</v>
      </c>
      <c r="J22" s="63">
        <v>-400</v>
      </c>
      <c r="K22" s="170">
        <f t="shared" si="8"/>
        <v>-1100</v>
      </c>
      <c r="L22" s="171">
        <v>-30</v>
      </c>
      <c r="M22" s="153"/>
      <c r="N22" s="149">
        <f>L22+K22+G22+M22</f>
        <v>7802</v>
      </c>
      <c r="O22" s="67">
        <f t="shared" si="1"/>
        <v>2870729.0468750005</v>
      </c>
      <c r="P22" s="7">
        <f t="shared" si="4"/>
        <v>45931664.750000007</v>
      </c>
      <c r="Q22" s="164">
        <f>Q21+N22-2</f>
        <v>3120472.45</v>
      </c>
      <c r="R22" s="29">
        <f t="shared" si="2"/>
        <v>2191.2883864382716</v>
      </c>
      <c r="S22" s="5">
        <f>SUM($Q$7:$Q22)/T22+3</f>
        <v>3209602.0125000007</v>
      </c>
      <c r="T22" s="18">
        <v>16</v>
      </c>
      <c r="U22" s="4"/>
      <c r="V22" s="131"/>
      <c r="W22" s="105">
        <v>-1942655</v>
      </c>
      <c r="X22" s="167"/>
      <c r="Y22" s="156">
        <f>Y21-K22-L22+1</f>
        <v>-1942655</v>
      </c>
      <c r="Z22" s="217"/>
      <c r="AA22" s="92"/>
    </row>
    <row r="23" spans="2:31">
      <c r="B23" s="116">
        <v>44239</v>
      </c>
      <c r="C23" s="14"/>
      <c r="D23" s="87"/>
      <c r="E23" s="87">
        <v>0</v>
      </c>
      <c r="F23" s="23">
        <v>-623706</v>
      </c>
      <c r="G23" s="26">
        <f>D23+E23+F23-E22-F22</f>
        <v>-8608</v>
      </c>
      <c r="H23" s="132">
        <v>300</v>
      </c>
      <c r="I23" s="63">
        <v>4600</v>
      </c>
      <c r="J23" s="63">
        <v>-400</v>
      </c>
      <c r="K23" s="170">
        <f t="shared" si="8"/>
        <v>4500</v>
      </c>
      <c r="L23" s="171">
        <v>-43</v>
      </c>
      <c r="M23" s="153"/>
      <c r="N23" s="149">
        <f>L23+K23+G23+M23</f>
        <v>-4151</v>
      </c>
      <c r="O23" s="67">
        <f t="shared" si="1"/>
        <v>2876559.7176470594</v>
      </c>
      <c r="P23" s="7">
        <f t="shared" si="4"/>
        <v>48901515.20000001</v>
      </c>
      <c r="Q23" s="164">
        <f t="shared" ref="Q23:Q48" si="9">Q22+N23</f>
        <v>3116321.45</v>
      </c>
      <c r="R23" s="29">
        <f t="shared" si="2"/>
        <v>2187.5402619350075</v>
      </c>
      <c r="S23" s="5">
        <f>SUM($Q$7:$Q23)/T23</f>
        <v>3204112.0970588243</v>
      </c>
      <c r="T23" s="18">
        <v>17</v>
      </c>
      <c r="U23" s="27"/>
      <c r="V23" s="135"/>
      <c r="W23" s="105">
        <v>-1947112</v>
      </c>
      <c r="X23" s="167"/>
      <c r="Y23" s="156">
        <f>Y22-K23-L23</f>
        <v>-1947112</v>
      </c>
      <c r="Z23" s="217"/>
      <c r="AA23" s="92"/>
    </row>
    <row r="24" spans="2:31">
      <c r="B24" s="116">
        <v>44240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2881742.5361111118</v>
      </c>
      <c r="P24" s="7">
        <f t="shared" si="4"/>
        <v>51871365.650000013</v>
      </c>
      <c r="Q24" s="164">
        <f t="shared" si="9"/>
        <v>3116321.45</v>
      </c>
      <c r="R24" s="29">
        <f t="shared" si="2"/>
        <v>2184.2104163205613</v>
      </c>
      <c r="S24" s="5">
        <f>SUM($Q$7:$Q24)/T24</f>
        <v>3199234.8388888896</v>
      </c>
      <c r="T24" s="18">
        <v>18</v>
      </c>
      <c r="U24" s="4"/>
      <c r="V24" s="135"/>
      <c r="W24" s="105">
        <v>-1947112</v>
      </c>
      <c r="X24" s="167"/>
      <c r="Y24" s="156">
        <f t="shared" si="7"/>
        <v>-1947112</v>
      </c>
      <c r="Z24" s="217"/>
      <c r="AA24" s="92"/>
      <c r="AD24" s="1"/>
      <c r="AE24" s="1"/>
    </row>
    <row r="25" spans="2:31">
      <c r="B25" s="116">
        <v>44241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2886379.7947368431</v>
      </c>
      <c r="P25" s="7">
        <f t="shared" si="4"/>
        <v>54841216.100000016</v>
      </c>
      <c r="Q25" s="164">
        <f t="shared" si="9"/>
        <v>3116321.45</v>
      </c>
      <c r="R25" s="29">
        <f t="shared" si="2"/>
        <v>2181.2303980417901</v>
      </c>
      <c r="S25" s="5">
        <f>SUM($Q$7:$Q25)/T25-1</f>
        <v>3194869.9763157903</v>
      </c>
      <c r="T25" s="18">
        <v>19</v>
      </c>
      <c r="U25" s="4"/>
      <c r="V25" s="131"/>
      <c r="W25" s="105">
        <v>-1947112</v>
      </c>
      <c r="X25" s="167"/>
      <c r="Y25" s="156">
        <f t="shared" si="7"/>
        <v>-1947112</v>
      </c>
      <c r="Z25" s="217"/>
      <c r="AA25" s="92"/>
      <c r="AD25" s="1"/>
      <c r="AE25" s="1"/>
    </row>
    <row r="26" spans="2:31">
      <c r="B26" s="116">
        <v>44242</v>
      </c>
      <c r="C26" s="14" t="str">
        <f t="shared" si="0"/>
        <v/>
      </c>
      <c r="D26" s="87"/>
      <c r="E26" s="87">
        <v>0</v>
      </c>
      <c r="F26" s="23">
        <v>-609184</v>
      </c>
      <c r="G26" s="26">
        <f>D26+E26+F26-E23-F23</f>
        <v>14522</v>
      </c>
      <c r="H26" s="132">
        <v>300</v>
      </c>
      <c r="I26" s="63">
        <v>-18200</v>
      </c>
      <c r="J26" s="63">
        <v>-200</v>
      </c>
      <c r="K26" s="170">
        <f>+H26+I26+J26</f>
        <v>-18100</v>
      </c>
      <c r="L26" s="171">
        <v>34</v>
      </c>
      <c r="M26" s="153"/>
      <c r="N26" s="149">
        <f t="shared" si="6"/>
        <v>-3544</v>
      </c>
      <c r="O26" s="67">
        <f t="shared" si="1"/>
        <v>2890376.1275000009</v>
      </c>
      <c r="P26" s="7">
        <f t="shared" si="4"/>
        <v>57807522.550000019</v>
      </c>
      <c r="Q26" s="164">
        <f t="shared" si="9"/>
        <v>3112777.45</v>
      </c>
      <c r="R26" s="29">
        <f t="shared" si="2"/>
        <v>2178.4280164674242</v>
      </c>
      <c r="S26" s="5">
        <f>SUM($Q$7:$Q26)/T26-1</f>
        <v>3190765.3000000012</v>
      </c>
      <c r="T26" s="18">
        <v>20</v>
      </c>
      <c r="U26" s="138">
        <f>B26</f>
        <v>44242</v>
      </c>
      <c r="V26" s="131">
        <v>1870.5</v>
      </c>
      <c r="W26" s="105">
        <v>-1929044</v>
      </c>
      <c r="X26" s="167">
        <f>AVERAGE(W26:W34)</f>
        <v>-1914545.4444444445</v>
      </c>
      <c r="Y26" s="156">
        <f>Y25-K26-L26+2</f>
        <v>-1929044</v>
      </c>
      <c r="Z26" s="217">
        <f>AVERAGE(Y26:Y34)</f>
        <v>-1914545.4444444445</v>
      </c>
      <c r="AC26" s="92"/>
      <c r="AD26" s="1"/>
      <c r="AE26" s="1"/>
    </row>
    <row r="27" spans="2:31">
      <c r="B27" s="116">
        <v>44243</v>
      </c>
      <c r="C27" s="14" t="str">
        <f t="shared" si="0"/>
        <v/>
      </c>
      <c r="D27" s="87"/>
      <c r="E27" s="87">
        <v>0</v>
      </c>
      <c r="F27" s="23">
        <v>-612854</v>
      </c>
      <c r="G27" s="26">
        <f>D27+E27+F27-E26-F26</f>
        <v>-3670</v>
      </c>
      <c r="H27" s="132">
        <v>2800</v>
      </c>
      <c r="I27" s="63">
        <v>-2500</v>
      </c>
      <c r="J27" s="63">
        <v>-200</v>
      </c>
      <c r="K27" s="170">
        <f t="shared" si="8"/>
        <v>100</v>
      </c>
      <c r="L27" s="171">
        <v>3</v>
      </c>
      <c r="M27" s="153"/>
      <c r="N27" s="149">
        <f>L27+K27+G27+M27</f>
        <v>-3567</v>
      </c>
      <c r="O27" s="67">
        <f t="shared" si="1"/>
        <v>2893821.9523809534</v>
      </c>
      <c r="P27" s="7">
        <f t="shared" si="4"/>
        <v>60770261.000000022</v>
      </c>
      <c r="Q27" s="164">
        <f>Q26+N27-1</f>
        <v>3109209.45</v>
      </c>
      <c r="R27" s="29">
        <f t="shared" si="2"/>
        <v>2175.7765294673977</v>
      </c>
      <c r="S27" s="5">
        <f>SUM($Q$7:$Q27)/T27-1</f>
        <v>3186881.6404761919</v>
      </c>
      <c r="T27" s="18">
        <v>21</v>
      </c>
      <c r="U27" s="138">
        <f>B28+6</f>
        <v>44250</v>
      </c>
      <c r="V27" s="159"/>
      <c r="W27" s="105">
        <v>-1929148</v>
      </c>
      <c r="X27" s="167"/>
      <c r="Y27" s="156">
        <f>Y26-K27-L27-1</f>
        <v>-1929148</v>
      </c>
      <c r="Z27" s="217"/>
      <c r="AA27" s="92"/>
      <c r="AD27" s="1"/>
      <c r="AE27" s="1"/>
    </row>
    <row r="28" spans="2:31">
      <c r="B28" s="116">
        <v>44244</v>
      </c>
      <c r="C28" s="14" t="str">
        <f t="shared" si="0"/>
        <v/>
      </c>
      <c r="D28" s="87">
        <f>-427+459</f>
        <v>32</v>
      </c>
      <c r="E28" s="87">
        <v>0</v>
      </c>
      <c r="F28" s="23">
        <v>-612456</v>
      </c>
      <c r="G28" s="26">
        <f>D28+E28+F28-E27-F27</f>
        <v>430</v>
      </c>
      <c r="H28" s="132">
        <v>-700</v>
      </c>
      <c r="I28" s="63">
        <v>-3700</v>
      </c>
      <c r="J28" s="63">
        <v>-200</v>
      </c>
      <c r="K28" s="170">
        <f t="shared" si="8"/>
        <v>-4600</v>
      </c>
      <c r="L28" s="171">
        <v>-37</v>
      </c>
      <c r="M28" s="153"/>
      <c r="N28" s="149">
        <f>L28+K28+G28+M28</f>
        <v>-4207</v>
      </c>
      <c r="O28" s="67">
        <f t="shared" si="1"/>
        <v>2896763.2931818194</v>
      </c>
      <c r="P28" s="7">
        <f t="shared" si="4"/>
        <v>63728792.450000025</v>
      </c>
      <c r="Q28" s="164">
        <f>Q27+N28</f>
        <v>3105002.45</v>
      </c>
      <c r="R28" s="29">
        <f t="shared" si="2"/>
        <v>2173.2355303345812</v>
      </c>
      <c r="S28" s="5">
        <f>SUM($Q$7:$Q28)/T28-1</f>
        <v>3183159.8136363644</v>
      </c>
      <c r="T28" s="18">
        <v>22</v>
      </c>
      <c r="U28" s="4"/>
      <c r="V28" s="131"/>
      <c r="W28" s="105">
        <v>-1924511</v>
      </c>
      <c r="X28" s="167"/>
      <c r="Y28" s="156">
        <f>Y27-K28-L28</f>
        <v>-1924511</v>
      </c>
      <c r="Z28" s="217"/>
      <c r="AA28" s="92"/>
      <c r="AD28" s="1"/>
      <c r="AE28" s="1"/>
    </row>
    <row r="29" spans="2:31">
      <c r="B29" s="116">
        <v>44245</v>
      </c>
      <c r="C29" s="14" t="str">
        <f t="shared" si="0"/>
        <v/>
      </c>
      <c r="D29" s="87"/>
      <c r="E29" s="87">
        <v>0</v>
      </c>
      <c r="F29" s="23">
        <v>-616736</v>
      </c>
      <c r="G29" s="26">
        <f>D29+E29+F29-E28-F28</f>
        <v>-4280</v>
      </c>
      <c r="H29" s="132">
        <v>-13300</v>
      </c>
      <c r="I29" s="63">
        <v>100</v>
      </c>
      <c r="J29" s="63">
        <v>-300</v>
      </c>
      <c r="K29" s="170">
        <f t="shared" si="8"/>
        <v>-13500</v>
      </c>
      <c r="L29" s="171">
        <v>-20</v>
      </c>
      <c r="M29" s="153"/>
      <c r="N29" s="149">
        <f>L29+K29+G29+M29</f>
        <v>-17800</v>
      </c>
      <c r="O29" s="67">
        <f t="shared" si="1"/>
        <v>2898675.0391304358</v>
      </c>
      <c r="P29" s="7">
        <f t="shared" si="4"/>
        <v>66669525.900000028</v>
      </c>
      <c r="Q29" s="164">
        <f>Q28+N29+2</f>
        <v>3087204.45</v>
      </c>
      <c r="R29" s="29">
        <f t="shared" si="2"/>
        <v>2170.3871741341891</v>
      </c>
      <c r="S29" s="5">
        <f>SUM($Q$7:$Q29)/T29-1</f>
        <v>3178987.797826088</v>
      </c>
      <c r="T29" s="18">
        <v>23</v>
      </c>
      <c r="U29" s="4"/>
      <c r="V29" s="131"/>
      <c r="W29" s="105">
        <v>-1910993</v>
      </c>
      <c r="X29" s="167"/>
      <c r="Y29" s="156">
        <f>Y28-K29-L29-2</f>
        <v>-1910993</v>
      </c>
      <c r="Z29" s="217"/>
      <c r="AA29" s="92"/>
      <c r="AD29" s="1"/>
      <c r="AE29" s="1"/>
    </row>
    <row r="30" spans="2:31">
      <c r="B30" s="116">
        <v>44246</v>
      </c>
      <c r="C30" s="14" t="str">
        <f t="shared" si="0"/>
        <v/>
      </c>
      <c r="D30" s="87"/>
      <c r="E30" s="87">
        <v>0</v>
      </c>
      <c r="F30" s="23">
        <v>-617741</v>
      </c>
      <c r="G30" s="26">
        <f>D30+E30+F30-E29-F29</f>
        <v>-1005</v>
      </c>
      <c r="H30" s="132">
        <v>-12500</v>
      </c>
      <c r="I30" s="25">
        <v>12600</v>
      </c>
      <c r="J30" s="25">
        <v>-300</v>
      </c>
      <c r="K30" s="170">
        <f t="shared" si="8"/>
        <v>-200</v>
      </c>
      <c r="L30" s="171">
        <v>37</v>
      </c>
      <c r="M30" s="153"/>
      <c r="N30" s="149">
        <f>L30+K30+G30+M30</f>
        <v>-1168</v>
      </c>
      <c r="O30" s="67">
        <f t="shared" si="1"/>
        <v>2900378.8062500008</v>
      </c>
      <c r="P30" s="7">
        <f t="shared" si="4"/>
        <v>69609091.350000024</v>
      </c>
      <c r="Q30" s="164">
        <f t="shared" si="9"/>
        <v>3086036.45</v>
      </c>
      <c r="R30" s="29">
        <f t="shared" si="2"/>
        <v>2167.7477339086472</v>
      </c>
      <c r="S30" s="5">
        <f>SUM($Q$7:$Q30)/T30+6</f>
        <v>3175121.7833333346</v>
      </c>
      <c r="T30" s="18">
        <v>24</v>
      </c>
      <c r="U30" s="4"/>
      <c r="V30" s="131"/>
      <c r="W30" s="105">
        <v>-1910830</v>
      </c>
      <c r="X30" s="167"/>
      <c r="Y30" s="156">
        <f>Y29-K30-L30</f>
        <v>-1910830</v>
      </c>
      <c r="Z30" s="217"/>
      <c r="AA30" s="92"/>
      <c r="AD30" s="1"/>
      <c r="AE30" s="1"/>
    </row>
    <row r="31" spans="2:31">
      <c r="B31" s="116">
        <v>44247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2901946.2720000013</v>
      </c>
      <c r="P31" s="7">
        <f t="shared" si="4"/>
        <v>72548656.800000027</v>
      </c>
      <c r="Q31" s="164">
        <f t="shared" si="9"/>
        <v>3086036.45</v>
      </c>
      <c r="R31" s="29">
        <f t="shared" si="2"/>
        <v>2165.3123212103428</v>
      </c>
      <c r="S31" s="5">
        <f>SUM($Q$7:$Q31)/T31+2</f>
        <v>3171554.6100000013</v>
      </c>
      <c r="T31" s="18">
        <v>25</v>
      </c>
      <c r="U31" s="4"/>
      <c r="V31" s="137"/>
      <c r="W31" s="105">
        <v>-1910830</v>
      </c>
      <c r="X31" s="167"/>
      <c r="Y31" s="156">
        <f t="shared" si="7"/>
        <v>-1910830</v>
      </c>
      <c r="Z31" s="217"/>
      <c r="AA31" s="92"/>
      <c r="AB31" s="92"/>
      <c r="AD31" s="1"/>
      <c r="AE31" s="1"/>
    </row>
    <row r="32" spans="2:31">
      <c r="B32" s="116">
        <v>44248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2903393.1634615394</v>
      </c>
      <c r="P32" s="7">
        <f t="shared" si="4"/>
        <v>75488222.25000003</v>
      </c>
      <c r="Q32" s="164">
        <f t="shared" si="9"/>
        <v>3086036.45</v>
      </c>
      <c r="R32" s="29">
        <f t="shared" si="2"/>
        <v>2163.0613069638889</v>
      </c>
      <c r="S32" s="5">
        <f>SUM($Q$7:$Q32)/T32-6</f>
        <v>3168257.5269230781</v>
      </c>
      <c r="T32" s="18">
        <v>26</v>
      </c>
      <c r="U32" s="27"/>
      <c r="V32" s="137"/>
      <c r="W32" s="105">
        <v>-1910830</v>
      </c>
      <c r="X32" s="167"/>
      <c r="Y32" s="156">
        <f t="shared" si="7"/>
        <v>-1910830</v>
      </c>
      <c r="Z32" s="217"/>
      <c r="AD32" s="1"/>
      <c r="AE32" s="1"/>
    </row>
    <row r="33" spans="2:31">
      <c r="B33" s="116">
        <v>44249</v>
      </c>
      <c r="C33" s="14" t="str">
        <f t="shared" si="0"/>
        <v/>
      </c>
      <c r="D33" s="87"/>
      <c r="E33" s="87">
        <v>0</v>
      </c>
      <c r="F33" s="23">
        <v>-628901</v>
      </c>
      <c r="G33" s="26">
        <f>D33+E33+F33-E30-F30</f>
        <v>-11160</v>
      </c>
      <c r="H33" s="132">
        <v>-700</v>
      </c>
      <c r="I33" s="25">
        <v>-4300</v>
      </c>
      <c r="J33" s="25">
        <v>-400</v>
      </c>
      <c r="K33" s="170">
        <f t="shared" si="8"/>
        <v>-5400</v>
      </c>
      <c r="L33" s="171">
        <v>-31</v>
      </c>
      <c r="M33" s="153"/>
      <c r="N33" s="149">
        <f t="shared" si="6"/>
        <v>-16591</v>
      </c>
      <c r="O33" s="67">
        <f t="shared" si="1"/>
        <v>2904118.3962962977</v>
      </c>
      <c r="P33" s="7">
        <f t="shared" si="4"/>
        <v>78411196.700000033</v>
      </c>
      <c r="Q33" s="164">
        <f t="shared" si="9"/>
        <v>3069445.45</v>
      </c>
      <c r="R33" s="29">
        <f t="shared" si="2"/>
        <v>2160.5659810803159</v>
      </c>
      <c r="S33" s="5">
        <f>SUM($Q$7:$Q33)/T33-1</f>
        <v>3164602.5981481494</v>
      </c>
      <c r="T33" s="18">
        <v>27</v>
      </c>
      <c r="U33" s="138">
        <f>B33</f>
        <v>44249</v>
      </c>
      <c r="V33" s="131">
        <v>1851.4</v>
      </c>
      <c r="W33" s="105">
        <v>-1905399</v>
      </c>
      <c r="X33" s="167">
        <f>AVERAGE(W33:W41)</f>
        <v>-1945125.2222222222</v>
      </c>
      <c r="Y33" s="156">
        <f>Y32-K33-L33</f>
        <v>-1905399</v>
      </c>
      <c r="Z33" s="217">
        <f>AVERAGE(Y33:Y41)</f>
        <v>-1945125.2222222222</v>
      </c>
      <c r="AD33" s="1"/>
      <c r="AE33" s="1"/>
    </row>
    <row r="34" spans="2:31">
      <c r="B34" s="116">
        <v>44250</v>
      </c>
      <c r="C34" s="14" t="str">
        <f t="shared" si="0"/>
        <v/>
      </c>
      <c r="D34" s="87"/>
      <c r="E34" s="87">
        <v>0</v>
      </c>
      <c r="F34" s="23">
        <v>-631205</v>
      </c>
      <c r="G34" s="26">
        <f>D34+E34+F34-E33-F33</f>
        <v>-2304</v>
      </c>
      <c r="H34" s="132">
        <v>-400</v>
      </c>
      <c r="I34" s="25">
        <v>-5300</v>
      </c>
      <c r="J34" s="25">
        <v>-400</v>
      </c>
      <c r="K34" s="170">
        <f t="shared" si="8"/>
        <v>-6100</v>
      </c>
      <c r="L34" s="171">
        <v>25</v>
      </c>
      <c r="M34" s="153"/>
      <c r="N34" s="149">
        <f>L34+K34+G34+M34</f>
        <v>-8379</v>
      </c>
      <c r="O34" s="67">
        <f t="shared" si="1"/>
        <v>2904492.6125000012</v>
      </c>
      <c r="P34" s="7">
        <f t="shared" si="4"/>
        <v>81325793.150000036</v>
      </c>
      <c r="Q34" s="164">
        <f>Q33+N34+1</f>
        <v>3061067.45</v>
      </c>
      <c r="R34" s="29">
        <f t="shared" si="2"/>
        <v>2158.0421234042437</v>
      </c>
      <c r="S34" s="5">
        <f>SUM($Q$7:$Q34)/T34</f>
        <v>3160905.8785714298</v>
      </c>
      <c r="T34" s="18">
        <v>28</v>
      </c>
      <c r="U34" s="138">
        <f>B33+8</f>
        <v>44257</v>
      </c>
      <c r="V34" s="131"/>
      <c r="W34" s="105">
        <v>-1899324</v>
      </c>
      <c r="X34" s="167"/>
      <c r="Y34" s="156">
        <f>Y33-K34-L34</f>
        <v>-1899324</v>
      </c>
      <c r="Z34" s="217"/>
      <c r="AA34" s="92"/>
      <c r="AD34" s="1"/>
      <c r="AE34" s="1"/>
    </row>
    <row r="35" spans="2:31">
      <c r="B35" s="116">
        <v>44251</v>
      </c>
      <c r="C35" s="14" t="str">
        <f t="shared" si="0"/>
        <v/>
      </c>
      <c r="D35" s="87">
        <f>-459+622</f>
        <v>163</v>
      </c>
      <c r="E35" s="87">
        <v>0</v>
      </c>
      <c r="F35" s="23">
        <v>-620176</v>
      </c>
      <c r="G35" s="26">
        <f>D35+E35+F35-E34-F34</f>
        <v>11192</v>
      </c>
      <c r="H35" s="132">
        <v>300</v>
      </c>
      <c r="I35" s="25">
        <v>4300</v>
      </c>
      <c r="J35" s="25">
        <v>-400</v>
      </c>
      <c r="K35" s="170">
        <f t="shared" si="8"/>
        <v>4200</v>
      </c>
      <c r="L35" s="171">
        <v>-9</v>
      </c>
      <c r="M35" s="153"/>
      <c r="N35" s="149">
        <f t="shared" si="6"/>
        <v>15383</v>
      </c>
      <c r="O35" s="67">
        <f t="shared" si="1"/>
        <v>2905371.5034482772</v>
      </c>
      <c r="P35" s="7">
        <f t="shared" si="4"/>
        <v>84255773.600000039</v>
      </c>
      <c r="Q35" s="164">
        <f>Q34+N35+1</f>
        <v>3076451.45</v>
      </c>
      <c r="R35" s="29">
        <f t="shared" si="2"/>
        <v>2156.0538651996321</v>
      </c>
      <c r="S35" s="5">
        <f>SUM($Q$7:$Q35)/T35</f>
        <v>3157993.656896553</v>
      </c>
      <c r="T35" s="18">
        <v>29</v>
      </c>
      <c r="U35" s="4"/>
      <c r="V35" s="131"/>
      <c r="W35" s="105">
        <v>-1903516</v>
      </c>
      <c r="X35" s="167"/>
      <c r="Y35" s="156">
        <f>Y34-K35-L35-1</f>
        <v>-1903516</v>
      </c>
      <c r="Z35" s="217"/>
      <c r="AA35" s="92"/>
      <c r="AD35" s="1"/>
      <c r="AE35" s="1"/>
    </row>
    <row r="36" spans="2:31">
      <c r="B36" s="116">
        <v>44252</v>
      </c>
      <c r="C36" s="14" t="str">
        <f t="shared" si="0"/>
        <v/>
      </c>
      <c r="D36" s="87">
        <f>-293+30</f>
        <v>-263</v>
      </c>
      <c r="E36" s="87">
        <v>0</v>
      </c>
      <c r="F36" s="23">
        <v>-622120</v>
      </c>
      <c r="G36" s="26">
        <f>D36+E36+F36-E35-F35</f>
        <v>-2207</v>
      </c>
      <c r="H36" s="132">
        <v>300</v>
      </c>
      <c r="I36" s="25">
        <v>24400</v>
      </c>
      <c r="J36" s="25">
        <v>-400</v>
      </c>
      <c r="K36" s="170">
        <f t="shared" si="8"/>
        <v>24300</v>
      </c>
      <c r="L36" s="171">
        <v>-16</v>
      </c>
      <c r="M36" s="153"/>
      <c r="N36" s="149">
        <f t="shared" si="6"/>
        <v>22077</v>
      </c>
      <c r="O36" s="67">
        <f t="shared" si="1"/>
        <v>2906927.5683333348</v>
      </c>
      <c r="P36" s="7">
        <f t="shared" si="4"/>
        <v>87207827.050000042</v>
      </c>
      <c r="Q36" s="164">
        <f>Q35+N36-4</f>
        <v>3098524.45</v>
      </c>
      <c r="R36" s="29">
        <f t="shared" si="2"/>
        <v>2154.7004867857813</v>
      </c>
      <c r="S36" s="5">
        <f>SUM($Q$7:$Q36)/T36</f>
        <v>3156011.3500000015</v>
      </c>
      <c r="T36" s="18">
        <v>30</v>
      </c>
      <c r="U36" s="4"/>
      <c r="V36" s="136"/>
      <c r="W36" s="105">
        <v>-1927797</v>
      </c>
      <c r="X36" s="167"/>
      <c r="Y36" s="156">
        <f>Y35-K36-L36+3</f>
        <v>-1927797</v>
      </c>
      <c r="Z36" s="217"/>
      <c r="AD36" s="1"/>
      <c r="AE36" s="1"/>
    </row>
    <row r="37" spans="2:31">
      <c r="B37" s="116">
        <v>44253</v>
      </c>
      <c r="C37" s="14" t="str">
        <f t="shared" si="0"/>
        <v/>
      </c>
      <c r="D37" s="87"/>
      <c r="E37" s="87">
        <v>0</v>
      </c>
      <c r="F37" s="23">
        <v>-645560</v>
      </c>
      <c r="G37" s="26">
        <f>D37+E37+F37-E36-F36</f>
        <v>-23440</v>
      </c>
      <c r="H37" s="132">
        <v>300</v>
      </c>
      <c r="I37" s="25">
        <v>19100</v>
      </c>
      <c r="J37" s="25">
        <v>-500</v>
      </c>
      <c r="K37" s="170">
        <f t="shared" si="8"/>
        <v>18900</v>
      </c>
      <c r="L37" s="171">
        <v>51</v>
      </c>
      <c r="M37" s="153"/>
      <c r="N37" s="149">
        <f t="shared" si="6"/>
        <v>-4489</v>
      </c>
      <c r="O37" s="67">
        <f t="shared" si="1"/>
        <v>2908238.338709679</v>
      </c>
      <c r="P37" s="7">
        <f t="shared" si="4"/>
        <v>90155388.500000045</v>
      </c>
      <c r="Q37" s="164">
        <f>Q36+N37-3</f>
        <v>3094032.45</v>
      </c>
      <c r="R37" s="29">
        <f t="shared" si="2"/>
        <v>2153.3361762022264</v>
      </c>
      <c r="S37" s="5">
        <f>SUM($Q$7:$Q37)/T37+1</f>
        <v>3154013.0306451628</v>
      </c>
      <c r="T37" s="18">
        <v>31</v>
      </c>
      <c r="U37" s="27"/>
      <c r="V37" s="137"/>
      <c r="W37" s="105">
        <v>-1946745</v>
      </c>
      <c r="X37" s="167"/>
      <c r="Y37" s="156">
        <f>Y36-K37-L37+3</f>
        <v>-1946745</v>
      </c>
      <c r="Z37" s="217"/>
      <c r="AA37" s="92"/>
      <c r="AD37" s="1"/>
      <c r="AE37" s="1"/>
    </row>
    <row r="38" spans="2:31">
      <c r="B38" s="116">
        <v>44254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2909467.1859375015</v>
      </c>
      <c r="P38" s="7">
        <f t="shared" si="4"/>
        <v>93102949.950000048</v>
      </c>
      <c r="Q38" s="164">
        <f t="shared" si="9"/>
        <v>3094032.45</v>
      </c>
      <c r="R38" s="29">
        <f t="shared" si="2"/>
        <v>2152.0558122426978</v>
      </c>
      <c r="S38" s="5">
        <f>SUM($Q$7:$Q38)/T38</f>
        <v>3152137.6687500016</v>
      </c>
      <c r="T38" s="18">
        <v>32</v>
      </c>
      <c r="U38" s="27"/>
      <c r="V38" s="137"/>
      <c r="W38" s="105">
        <v>-1946745</v>
      </c>
      <c r="X38" s="167"/>
      <c r="Y38" s="156">
        <f t="shared" si="7"/>
        <v>-1946745</v>
      </c>
      <c r="Z38" s="217"/>
      <c r="AD38" s="1"/>
      <c r="AE38" s="1"/>
    </row>
    <row r="39" spans="2:31">
      <c r="B39" s="116">
        <v>44255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2910621.557575759</v>
      </c>
      <c r="P39" s="7">
        <f t="shared" si="4"/>
        <v>96050511.400000051</v>
      </c>
      <c r="Q39" s="164">
        <f t="shared" si="9"/>
        <v>3094032.45</v>
      </c>
      <c r="R39" s="29">
        <f t="shared" si="2"/>
        <v>2150.8530047213826</v>
      </c>
      <c r="S39" s="5">
        <f>SUM($Q$7:$Q39)/T39-1</f>
        <v>3150375.9045454562</v>
      </c>
      <c r="T39" s="18">
        <v>33</v>
      </c>
      <c r="U39" s="27"/>
      <c r="V39" s="137"/>
      <c r="W39" s="105">
        <v>-1946745</v>
      </c>
      <c r="X39" s="167"/>
      <c r="Y39" s="156">
        <f t="shared" si="7"/>
        <v>-1946745</v>
      </c>
      <c r="Z39" s="217"/>
      <c r="AD39" s="1"/>
      <c r="AE39" s="1"/>
    </row>
    <row r="40" spans="2:31">
      <c r="B40" s="116">
        <v>44256</v>
      </c>
      <c r="C40" s="14" t="str">
        <f t="shared" si="0"/>
        <v/>
      </c>
      <c r="D40" s="87"/>
      <c r="E40" s="87">
        <v>0</v>
      </c>
      <c r="F40" s="23">
        <v>-652923</v>
      </c>
      <c r="G40" s="26">
        <f>D40+E40+F40-E37-F37</f>
        <v>-7363</v>
      </c>
      <c r="H40" s="132">
        <v>10300</v>
      </c>
      <c r="I40" s="25">
        <v>49400</v>
      </c>
      <c r="J40" s="25">
        <v>-600</v>
      </c>
      <c r="K40" s="170">
        <f t="shared" si="8"/>
        <v>59100</v>
      </c>
      <c r="L40" s="171">
        <v>9</v>
      </c>
      <c r="M40" s="153"/>
      <c r="N40" s="149">
        <f t="shared" si="6"/>
        <v>51746</v>
      </c>
      <c r="O40" s="67">
        <f t="shared" si="1"/>
        <v>2913229.9367647073</v>
      </c>
      <c r="P40" s="7">
        <f t="shared" si="4"/>
        <v>99049817.850000054</v>
      </c>
      <c r="Q40" s="164">
        <f>Q39+N40-1</f>
        <v>3145777.45</v>
      </c>
      <c r="R40" s="29">
        <f t="shared" si="2"/>
        <v>2150.7613291850193</v>
      </c>
      <c r="S40" s="5">
        <f>SUM($Q$7:$Q40)/T40</f>
        <v>3150241.62647059</v>
      </c>
      <c r="T40" s="18">
        <v>34</v>
      </c>
      <c r="U40" s="138">
        <f>B40</f>
        <v>44256</v>
      </c>
      <c r="V40" s="131">
        <v>1783.2</v>
      </c>
      <c r="W40" s="105">
        <v>-2005853</v>
      </c>
      <c r="X40" s="167">
        <f>AVERAGE(W40:W48)</f>
        <v>-2040944.7777777778</v>
      </c>
      <c r="Y40" s="156">
        <f>Y39-K40-L40+1</f>
        <v>-2005853</v>
      </c>
      <c r="Z40" s="217">
        <f>AVERAGE(Y40:Y48)</f>
        <v>-2040945</v>
      </c>
      <c r="AD40" s="1"/>
      <c r="AE40" s="1"/>
    </row>
    <row r="41" spans="2:31">
      <c r="B41" s="116">
        <v>44257</v>
      </c>
      <c r="C41" s="14" t="str">
        <f t="shared" si="0"/>
        <v/>
      </c>
      <c r="D41" s="87"/>
      <c r="E41" s="87">
        <v>1</v>
      </c>
      <c r="F41" s="23">
        <v>-665979</v>
      </c>
      <c r="G41" s="26">
        <f>D41+E41+F41-E40-F40</f>
        <v>-13055</v>
      </c>
      <c r="H41" s="132">
        <v>300</v>
      </c>
      <c r="I41" s="25">
        <v>18600</v>
      </c>
      <c r="J41" s="25">
        <v>-700</v>
      </c>
      <c r="K41" s="170">
        <f t="shared" si="8"/>
        <v>18200</v>
      </c>
      <c r="L41" s="171">
        <v>-49</v>
      </c>
      <c r="M41" s="153"/>
      <c r="N41" s="149">
        <f t="shared" si="6"/>
        <v>5096</v>
      </c>
      <c r="O41" s="67">
        <f t="shared" si="1"/>
        <v>2915834.8371428587</v>
      </c>
      <c r="P41" s="7">
        <f t="shared" si="4"/>
        <v>102054219.30000006</v>
      </c>
      <c r="Q41" s="164">
        <f>Q40+N41-1</f>
        <v>3150872.45</v>
      </c>
      <c r="R41" s="29">
        <f t="shared" si="2"/>
        <v>2150.7763652873277</v>
      </c>
      <c r="S41" s="5">
        <f>SUM($Q$7:$Q41)/T41+4</f>
        <v>3150263.6500000018</v>
      </c>
      <c r="T41" s="18">
        <v>35</v>
      </c>
      <c r="U41" s="138">
        <f>B40+8</f>
        <v>44264</v>
      </c>
      <c r="V41" s="137"/>
      <c r="W41" s="105">
        <v>-2024003</v>
      </c>
      <c r="X41" s="167"/>
      <c r="Y41" s="156">
        <f t="shared" ref="Y41:Y47" si="10">Y40-K41-L41+1</f>
        <v>-2024003</v>
      </c>
      <c r="Z41" s="217"/>
      <c r="AD41" s="1"/>
      <c r="AE41" s="1"/>
    </row>
    <row r="42" spans="2:31">
      <c r="B42" s="116">
        <v>44258</v>
      </c>
      <c r="C42" s="14" t="str">
        <f t="shared" si="0"/>
        <v/>
      </c>
      <c r="D42" s="87">
        <f>-622+502</f>
        <v>-120</v>
      </c>
      <c r="E42" s="87">
        <v>0</v>
      </c>
      <c r="F42" s="23">
        <v>-665917</v>
      </c>
      <c r="G42" s="26">
        <f t="shared" ref="G42:G49" si="11">D42+E42+F42-E41-F41</f>
        <v>-59</v>
      </c>
      <c r="H42" s="132">
        <v>300</v>
      </c>
      <c r="I42" s="25">
        <v>16600</v>
      </c>
      <c r="J42" s="25">
        <v>-700</v>
      </c>
      <c r="K42" s="170">
        <f t="shared" si="8"/>
        <v>16200</v>
      </c>
      <c r="L42" s="171">
        <v>4</v>
      </c>
      <c r="M42" s="153"/>
      <c r="N42" s="149">
        <f t="shared" si="6"/>
        <v>16145</v>
      </c>
      <c r="O42" s="67">
        <f t="shared" si="1"/>
        <v>2918743.4930555574</v>
      </c>
      <c r="P42" s="7">
        <f t="shared" si="4"/>
        <v>105074765.75000006</v>
      </c>
      <c r="Q42" s="164">
        <f t="shared" si="9"/>
        <v>3167017.45</v>
      </c>
      <c r="R42" s="29">
        <f t="shared" si="2"/>
        <v>2151.0941718459258</v>
      </c>
      <c r="S42" s="5">
        <f>SUM($Q$7:$Q42)/T42+4</f>
        <v>3150729.1444444461</v>
      </c>
      <c r="T42" s="18">
        <v>36</v>
      </c>
      <c r="U42" s="27"/>
      <c r="V42" s="137"/>
      <c r="W42" s="105">
        <v>-2040206</v>
      </c>
      <c r="X42" s="167"/>
      <c r="Y42" s="156">
        <f t="shared" si="10"/>
        <v>-2040206</v>
      </c>
      <c r="Z42" s="217"/>
      <c r="AD42" s="1"/>
      <c r="AE42" s="1"/>
    </row>
    <row r="43" spans="2:31">
      <c r="B43" s="116">
        <v>44259</v>
      </c>
      <c r="C43" s="14" t="str">
        <f t="shared" si="0"/>
        <v/>
      </c>
      <c r="D43" s="87"/>
      <c r="E43" s="87">
        <v>1</v>
      </c>
      <c r="F43" s="23">
        <v>-661544</v>
      </c>
      <c r="G43" s="26">
        <f t="shared" si="11"/>
        <v>4374</v>
      </c>
      <c r="H43" s="132">
        <v>300</v>
      </c>
      <c r="I43" s="25">
        <v>-1900</v>
      </c>
      <c r="J43" s="25">
        <v>-700</v>
      </c>
      <c r="K43" s="170">
        <f t="shared" si="8"/>
        <v>-2300</v>
      </c>
      <c r="L43" s="171">
        <v>-14</v>
      </c>
      <c r="M43" s="153"/>
      <c r="N43" s="149">
        <f t="shared" si="6"/>
        <v>2060</v>
      </c>
      <c r="O43" s="67">
        <f t="shared" si="1"/>
        <v>2921550.5189189208</v>
      </c>
      <c r="P43" s="7">
        <f t="shared" si="4"/>
        <v>108097369.20000006</v>
      </c>
      <c r="Q43" s="164">
        <f>Q42+N43-3</f>
        <v>3169074.45</v>
      </c>
      <c r="R43" s="29">
        <f t="shared" si="2"/>
        <v>2151.4327557138431</v>
      </c>
      <c r="S43" s="5">
        <f>SUM($Q$7:$Q43)/T43+4</f>
        <v>3151225.0716216234</v>
      </c>
      <c r="T43" s="18">
        <v>37</v>
      </c>
      <c r="U43" s="27"/>
      <c r="V43" s="137"/>
      <c r="W43" s="105">
        <v>-2037890</v>
      </c>
      <c r="X43" s="167"/>
      <c r="Y43" s="156">
        <f>Y42-K43-L43</f>
        <v>-2037892</v>
      </c>
      <c r="Z43" s="217"/>
      <c r="AD43" s="1"/>
      <c r="AE43" s="1"/>
    </row>
    <row r="44" spans="2:31">
      <c r="B44" s="116">
        <v>44260</v>
      </c>
      <c r="C44" s="14" t="str">
        <f t="shared" si="0"/>
        <v/>
      </c>
      <c r="D44" s="87"/>
      <c r="E44" s="87">
        <v>3</v>
      </c>
      <c r="F44" s="23">
        <v>-655294</v>
      </c>
      <c r="G44" s="26">
        <f t="shared" si="11"/>
        <v>6252</v>
      </c>
      <c r="H44" s="132">
        <v>300</v>
      </c>
      <c r="I44" s="25">
        <v>12800</v>
      </c>
      <c r="J44" s="25">
        <v>-700</v>
      </c>
      <c r="K44" s="170">
        <f t="shared" si="8"/>
        <v>12400</v>
      </c>
      <c r="L44" s="171">
        <v>-43</v>
      </c>
      <c r="M44" s="153"/>
      <c r="N44" s="149">
        <f t="shared" si="6"/>
        <v>18609</v>
      </c>
      <c r="O44" s="67">
        <f t="shared" si="1"/>
        <v>2924699.4644736857</v>
      </c>
      <c r="P44" s="7">
        <f t="shared" si="4"/>
        <v>111138579.65000007</v>
      </c>
      <c r="Q44" s="164">
        <f>Q43+N44-2</f>
        <v>3187681.45</v>
      </c>
      <c r="R44" s="29">
        <f t="shared" si="2"/>
        <v>2152.0878230251446</v>
      </c>
      <c r="S44" s="5">
        <f>SUM($Q$7:$Q44)/T44+4</f>
        <v>3152184.5552631598</v>
      </c>
      <c r="T44" s="18">
        <v>38</v>
      </c>
      <c r="U44" s="27"/>
      <c r="V44" s="137"/>
      <c r="W44" s="105">
        <v>-2050245</v>
      </c>
      <c r="X44" s="167"/>
      <c r="Y44" s="156">
        <f>Y43-K44-L44+4</f>
        <v>-2050245</v>
      </c>
      <c r="Z44" s="217"/>
      <c r="AD44" s="1"/>
      <c r="AE44" s="1"/>
    </row>
    <row r="45" spans="2:31">
      <c r="B45" s="116">
        <v>44261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1"/>
        <v>2927686.9256410273</v>
      </c>
      <c r="P45" s="7">
        <f t="shared" si="4"/>
        <v>114179790.10000007</v>
      </c>
      <c r="Q45" s="164">
        <f t="shared" si="9"/>
        <v>3187681.45</v>
      </c>
      <c r="R45" s="29">
        <f t="shared" si="2"/>
        <v>2152.7092971409947</v>
      </c>
      <c r="S45" s="5">
        <f>SUM($Q$7:$Q45)/T45+4</f>
        <v>3153094.8346153866</v>
      </c>
      <c r="T45" s="18">
        <v>39</v>
      </c>
      <c r="U45" s="27"/>
      <c r="V45" s="137"/>
      <c r="W45" s="105">
        <v>-2050245</v>
      </c>
      <c r="X45" s="167"/>
      <c r="Y45" s="156">
        <f>Y44-K45-L45</f>
        <v>-2050245</v>
      </c>
      <c r="Z45" s="217"/>
      <c r="AD45" s="1"/>
      <c r="AE45" s="1"/>
    </row>
    <row r="46" spans="2:31">
      <c r="B46" s="116">
        <v>44262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1"/>
        <v>2930525.0137500018</v>
      </c>
      <c r="P46" s="7">
        <f t="shared" si="4"/>
        <v>117221000.55000007</v>
      </c>
      <c r="Q46" s="164">
        <f t="shared" si="9"/>
        <v>3187681.45</v>
      </c>
      <c r="R46" s="29">
        <f t="shared" si="2"/>
        <v>2153.296966635035</v>
      </c>
      <c r="S46" s="5">
        <f>SUM($Q$7:$Q46)/T46</f>
        <v>3153955.600000002</v>
      </c>
      <c r="T46" s="18">
        <v>40</v>
      </c>
      <c r="U46" s="27"/>
      <c r="V46" s="137"/>
      <c r="W46" s="105">
        <v>-2050245</v>
      </c>
      <c r="X46" s="167"/>
      <c r="Y46" s="156">
        <f>Y45-K46-L46</f>
        <v>-2050245</v>
      </c>
      <c r="Z46" s="217"/>
      <c r="AD46" s="1"/>
      <c r="AE46" s="1"/>
    </row>
    <row r="47" spans="2:31">
      <c r="B47" s="116">
        <v>44263</v>
      </c>
      <c r="C47" s="14" t="str">
        <f t="shared" si="0"/>
        <v/>
      </c>
      <c r="D47" s="87"/>
      <c r="E47" s="87">
        <v>0</v>
      </c>
      <c r="F47" s="23">
        <v>-660933</v>
      </c>
      <c r="G47" s="26">
        <f>D47+E47+F47-E44-F44</f>
        <v>-5642</v>
      </c>
      <c r="H47" s="132">
        <v>300</v>
      </c>
      <c r="I47" s="25">
        <v>-3800</v>
      </c>
      <c r="J47" s="25">
        <v>-400</v>
      </c>
      <c r="K47" s="170">
        <f t="shared" si="8"/>
        <v>-3900</v>
      </c>
      <c r="L47" s="171">
        <v>14</v>
      </c>
      <c r="M47" s="153"/>
      <c r="N47" s="149">
        <f t="shared" si="6"/>
        <v>-9528</v>
      </c>
      <c r="O47" s="67">
        <f t="shared" si="1"/>
        <v>2932992.2682926846</v>
      </c>
      <c r="P47" s="7">
        <f t="shared" si="4"/>
        <v>120252683.00000007</v>
      </c>
      <c r="Q47" s="164">
        <f t="shared" si="9"/>
        <v>3178153.45</v>
      </c>
      <c r="R47" s="29">
        <f t="shared" si="2"/>
        <v>2153.6999074652431</v>
      </c>
      <c r="S47" s="5">
        <f>SUM($Q$7:$Q47)/T47</f>
        <v>3154545.7914634165</v>
      </c>
      <c r="T47" s="18">
        <v>41</v>
      </c>
      <c r="U47" s="138">
        <f>B47</f>
        <v>44263</v>
      </c>
      <c r="V47" s="137">
        <v>1803</v>
      </c>
      <c r="W47" s="105">
        <v>-2046358</v>
      </c>
      <c r="X47" s="167">
        <f>AVERAGE(W47:W55)</f>
        <v>-2041923.111111111</v>
      </c>
      <c r="Y47" s="156">
        <f t="shared" si="10"/>
        <v>-2046358</v>
      </c>
      <c r="Z47" s="217">
        <f>AVERAGE(Y47:Y55)</f>
        <v>-2041923.4444444445</v>
      </c>
      <c r="AD47" s="1"/>
      <c r="AE47" s="1"/>
    </row>
    <row r="48" spans="2:31">
      <c r="B48" s="116">
        <v>44264</v>
      </c>
      <c r="C48" s="14" t="str">
        <f t="shared" si="0"/>
        <v/>
      </c>
      <c r="D48" s="87"/>
      <c r="E48" s="87">
        <v>0</v>
      </c>
      <c r="F48" s="23">
        <v>-659981</v>
      </c>
      <c r="G48" s="26">
        <f t="shared" si="11"/>
        <v>952</v>
      </c>
      <c r="H48" s="132">
        <v>300</v>
      </c>
      <c r="I48" s="25">
        <v>17300</v>
      </c>
      <c r="J48" s="25">
        <v>-500</v>
      </c>
      <c r="K48" s="170">
        <f t="shared" si="8"/>
        <v>17100</v>
      </c>
      <c r="L48" s="171">
        <v>-1</v>
      </c>
      <c r="M48" s="153"/>
      <c r="N48" s="149">
        <f t="shared" si="6"/>
        <v>18051</v>
      </c>
      <c r="O48" s="67">
        <f t="shared" si="1"/>
        <v>2935771.8202380971</v>
      </c>
      <c r="P48" s="7">
        <f t="shared" si="4"/>
        <v>123302416.45000008</v>
      </c>
      <c r="Q48" s="164">
        <f t="shared" si="9"/>
        <v>3196204.45</v>
      </c>
      <c r="R48" s="29">
        <f t="shared" si="2"/>
        <v>2154.3770878096798</v>
      </c>
      <c r="S48" s="5">
        <f>SUM($Q$7:$Q48)/T48</f>
        <v>3155537.6642857161</v>
      </c>
      <c r="T48" s="18">
        <v>42</v>
      </c>
      <c r="U48" s="138">
        <f>B47+8</f>
        <v>44271</v>
      </c>
      <c r="V48" s="137"/>
      <c r="W48" s="105">
        <v>-2063458</v>
      </c>
      <c r="X48" s="167"/>
      <c r="Y48" s="156">
        <f>Y47-K48-L48-1</f>
        <v>-2063458</v>
      </c>
      <c r="Z48" s="217"/>
      <c r="AD48" s="1"/>
      <c r="AE48" s="1"/>
    </row>
    <row r="49" spans="2:31">
      <c r="B49" s="116">
        <v>44265</v>
      </c>
      <c r="C49" s="14" t="str">
        <f t="shared" si="0"/>
        <v/>
      </c>
      <c r="D49" s="87">
        <f>-502+692</f>
        <v>190</v>
      </c>
      <c r="E49" s="87">
        <v>0</v>
      </c>
      <c r="F49" s="23">
        <v>-650935</v>
      </c>
      <c r="G49" s="26">
        <f t="shared" si="11"/>
        <v>9236</v>
      </c>
      <c r="H49" s="132">
        <v>300</v>
      </c>
      <c r="I49" s="25">
        <v>-18600</v>
      </c>
      <c r="J49" s="25">
        <v>-500</v>
      </c>
      <c r="K49" s="170">
        <f t="shared" si="8"/>
        <v>-18800</v>
      </c>
      <c r="L49" s="171">
        <v>-21</v>
      </c>
      <c r="M49" s="153"/>
      <c r="N49" s="149">
        <f t="shared" si="6"/>
        <v>-9585</v>
      </c>
      <c r="O49" s="67">
        <f t="shared" si="1"/>
        <v>2938197.9279069784</v>
      </c>
      <c r="P49" s="7">
        <f t="shared" si="4"/>
        <v>126342510.90000008</v>
      </c>
      <c r="Q49" s="164">
        <f>Q48+N49-35-19</f>
        <v>3186565.45</v>
      </c>
      <c r="R49" s="29">
        <f t="shared" si="2"/>
        <v>2154.8697289549987</v>
      </c>
      <c r="S49" s="5">
        <f>SUM($Q$7:$Q49)/T49</f>
        <v>3156259.2406976763</v>
      </c>
      <c r="T49" s="18">
        <v>43</v>
      </c>
      <c r="U49" s="138"/>
      <c r="V49" s="137"/>
      <c r="W49" s="105">
        <v>-2044638</v>
      </c>
      <c r="X49" s="167"/>
      <c r="Y49" s="156">
        <f t="shared" ref="Y49" si="12">Y48-K49-L49-1</f>
        <v>-2044638</v>
      </c>
      <c r="Z49" s="217"/>
      <c r="AD49" s="1"/>
      <c r="AE49" s="1"/>
    </row>
    <row r="50" spans="2:31">
      <c r="B50" s="116">
        <v>44266</v>
      </c>
      <c r="C50" s="14" t="str">
        <f t="shared" ref="C50:C55" si="13">IF(OR(WEEKDAY(B50)=1,WEEKDAY(B50)=7),"F","")</f>
        <v/>
      </c>
      <c r="D50" s="87"/>
      <c r="E50" s="87">
        <v>0</v>
      </c>
      <c r="F50" s="23">
        <v>-660054</v>
      </c>
      <c r="G50" s="26">
        <f t="shared" ref="G50:G51" si="14">D50+E50+F50-E49-F49</f>
        <v>-9119</v>
      </c>
      <c r="H50" s="132">
        <v>100</v>
      </c>
      <c r="I50" s="25">
        <v>300</v>
      </c>
      <c r="J50" s="25">
        <v>-500</v>
      </c>
      <c r="K50" s="170">
        <f t="shared" ref="K50:K55" si="15">+H50+I50+J50</f>
        <v>-100</v>
      </c>
      <c r="L50" s="171">
        <v>-23</v>
      </c>
      <c r="M50" s="153"/>
      <c r="N50" s="149">
        <f t="shared" ref="N50:N55" si="16">L50+K50+G50+M50</f>
        <v>-9242</v>
      </c>
      <c r="O50" s="67">
        <f t="shared" ref="O50:O55" si="17">P50/T50</f>
        <v>2940303.7352272747</v>
      </c>
      <c r="P50" s="7">
        <f t="shared" si="4"/>
        <v>129373364.35000008</v>
      </c>
      <c r="Q50" s="164">
        <f>Q49+N50+1</f>
        <v>3177324.45</v>
      </c>
      <c r="R50" s="29">
        <f t="shared" si="2"/>
        <v>2155.1965887134975</v>
      </c>
      <c r="S50" s="5">
        <f>SUM($Q$7:$Q50)/T50</f>
        <v>3156737.995454547</v>
      </c>
      <c r="T50" s="18">
        <v>44</v>
      </c>
      <c r="U50" s="138"/>
      <c r="V50" s="137"/>
      <c r="W50" s="105">
        <v>-2044516</v>
      </c>
      <c r="X50" s="167"/>
      <c r="Y50" s="156">
        <f t="shared" ref="Y50:Y55" si="18">Y49-K50-L50-1</f>
        <v>-2044516</v>
      </c>
      <c r="Z50" s="217"/>
      <c r="AD50" s="1"/>
      <c r="AE50" s="1"/>
    </row>
    <row r="51" spans="2:31">
      <c r="B51" s="116">
        <v>44267</v>
      </c>
      <c r="C51" s="14" t="str">
        <f t="shared" si="13"/>
        <v/>
      </c>
      <c r="D51" s="87"/>
      <c r="E51" s="87">
        <v>0</v>
      </c>
      <c r="F51" s="23">
        <v>-656802</v>
      </c>
      <c r="G51" s="26">
        <f t="shared" si="14"/>
        <v>3252</v>
      </c>
      <c r="H51" s="132">
        <v>300</v>
      </c>
      <c r="I51" s="25">
        <v>3400</v>
      </c>
      <c r="J51" s="25">
        <v>-500</v>
      </c>
      <c r="K51" s="170">
        <f t="shared" si="15"/>
        <v>3200</v>
      </c>
      <c r="L51" s="171">
        <v>-47</v>
      </c>
      <c r="M51" s="153"/>
      <c r="N51" s="149">
        <f t="shared" si="16"/>
        <v>6405</v>
      </c>
      <c r="O51" s="67">
        <f t="shared" si="17"/>
        <v>2942458.3066666685</v>
      </c>
      <c r="P51" s="7">
        <f t="shared" si="4"/>
        <v>132410623.80000009</v>
      </c>
      <c r="Q51" s="164">
        <f>Q50+N51+1</f>
        <v>3183730.45</v>
      </c>
      <c r="R51" s="29">
        <f t="shared" si="2"/>
        <v>2155.6061116383303</v>
      </c>
      <c r="S51" s="5">
        <f>SUM($Q$7:$Q51)/T51</f>
        <v>3157337.8277777792</v>
      </c>
      <c r="T51" s="18">
        <v>45</v>
      </c>
      <c r="U51" s="138"/>
      <c r="V51" s="137"/>
      <c r="W51" s="105">
        <v>-2047670</v>
      </c>
      <c r="X51" s="167"/>
      <c r="Y51" s="156">
        <f t="shared" si="18"/>
        <v>-2047670</v>
      </c>
      <c r="Z51" s="217"/>
      <c r="AD51" s="1"/>
      <c r="AE51" s="1"/>
    </row>
    <row r="52" spans="2:31">
      <c r="B52" s="116">
        <v>44268</v>
      </c>
      <c r="C52" s="14" t="str">
        <f t="shared" si="13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7"/>
        <v>2944519.2010869584</v>
      </c>
      <c r="P52" s="7">
        <f t="shared" si="4"/>
        <v>135447883.25000009</v>
      </c>
      <c r="Q52" s="164">
        <f t="shared" ref="Q52:Q53" si="19">Q51+N52</f>
        <v>3183730.45</v>
      </c>
      <c r="R52" s="29">
        <f t="shared" si="2"/>
        <v>2155.9978292186056</v>
      </c>
      <c r="S52" s="5">
        <f>SUM($Q$7:$Q52)/T52</f>
        <v>3157911.5804347838</v>
      </c>
      <c r="T52" s="18">
        <v>46</v>
      </c>
      <c r="U52" s="138"/>
      <c r="V52" s="137"/>
      <c r="W52" s="105">
        <v>-2047670</v>
      </c>
      <c r="X52" s="167"/>
      <c r="Y52" s="156">
        <f t="shared" si="18"/>
        <v>-2047671</v>
      </c>
      <c r="Z52" s="217"/>
      <c r="AD52" s="1"/>
      <c r="AE52" s="1"/>
    </row>
    <row r="53" spans="2:31">
      <c r="B53" s="116">
        <v>44269</v>
      </c>
      <c r="C53" s="14" t="str">
        <f t="shared" si="13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7"/>
        <v>2946492.3978723423</v>
      </c>
      <c r="P53" s="7">
        <f t="shared" si="4"/>
        <v>138485142.70000008</v>
      </c>
      <c r="Q53" s="164">
        <f t="shared" si="19"/>
        <v>3183730.45</v>
      </c>
      <c r="R53" s="29">
        <f t="shared" si="2"/>
        <v>2156.3728779656776</v>
      </c>
      <c r="S53" s="5">
        <f>SUM($Q$7:$Q53)/T53</f>
        <v>3158460.9180851071</v>
      </c>
      <c r="T53" s="18">
        <v>47</v>
      </c>
      <c r="U53" s="138"/>
      <c r="V53" s="137"/>
      <c r="W53" s="105">
        <v>-2047670</v>
      </c>
      <c r="X53" s="167"/>
      <c r="Y53" s="156">
        <f t="shared" si="18"/>
        <v>-2047672</v>
      </c>
      <c r="Z53" s="217"/>
      <c r="AD53" s="1"/>
      <c r="AE53" s="1"/>
    </row>
    <row r="54" spans="2:31">
      <c r="B54" s="116">
        <v>44270</v>
      </c>
      <c r="C54" s="14" t="str">
        <f t="shared" si="13"/>
        <v/>
      </c>
      <c r="D54" s="87"/>
      <c r="E54" s="87">
        <v>0</v>
      </c>
      <c r="F54" s="23">
        <v>-662069</v>
      </c>
      <c r="G54" s="26">
        <f>D54+E54+F54-E51-F51</f>
        <v>-5267</v>
      </c>
      <c r="H54" s="132">
        <v>300</v>
      </c>
      <c r="I54" s="25">
        <v>-23500</v>
      </c>
      <c r="J54" s="25">
        <v>-100</v>
      </c>
      <c r="K54" s="170">
        <f t="shared" si="15"/>
        <v>-23300</v>
      </c>
      <c r="L54" s="171">
        <v>6</v>
      </c>
      <c r="M54" s="153"/>
      <c r="N54" s="149">
        <f t="shared" si="16"/>
        <v>-28561</v>
      </c>
      <c r="O54" s="67">
        <f t="shared" si="17"/>
        <v>2947788.4197916682</v>
      </c>
      <c r="P54" s="7">
        <f t="shared" si="4"/>
        <v>141493844.15000007</v>
      </c>
      <c r="Q54" s="164">
        <f>Q53+N54+3</f>
        <v>3155172.45</v>
      </c>
      <c r="R54" s="29">
        <f t="shared" si="2"/>
        <v>2156.326104371059</v>
      </c>
      <c r="S54" s="5">
        <f>SUM($Q$7:$Q54)/T54</f>
        <v>3158392.4083333337</v>
      </c>
      <c r="T54" s="18">
        <v>48</v>
      </c>
      <c r="U54" s="138"/>
      <c r="V54" s="137"/>
      <c r="W54" s="105">
        <v>-2024379</v>
      </c>
      <c r="X54" s="167"/>
      <c r="Y54" s="156">
        <f t="shared" si="18"/>
        <v>-2024379</v>
      </c>
      <c r="Z54" s="217"/>
      <c r="AD54" s="1"/>
      <c r="AE54" s="1"/>
    </row>
    <row r="55" spans="2:31">
      <c r="B55" s="116">
        <v>44271</v>
      </c>
      <c r="C55" s="14" t="str">
        <f t="shared" si="13"/>
        <v/>
      </c>
      <c r="D55" s="87"/>
      <c r="E55" s="87">
        <v>0</v>
      </c>
      <c r="F55" s="23">
        <v>-681585</v>
      </c>
      <c r="G55" s="26">
        <f t="shared" ref="G55" si="20">D55+E55+F55-E54-F54</f>
        <v>-19516</v>
      </c>
      <c r="H55" s="132">
        <v>300</v>
      </c>
      <c r="I55" s="25">
        <v>-13500</v>
      </c>
      <c r="J55" s="25">
        <v>-200</v>
      </c>
      <c r="K55" s="170">
        <f t="shared" si="15"/>
        <v>-13400</v>
      </c>
      <c r="L55" s="171">
        <v>-31</v>
      </c>
      <c r="M55" s="153"/>
      <c r="N55" s="149">
        <f t="shared" si="16"/>
        <v>-32947</v>
      </c>
      <c r="O55" s="67">
        <f t="shared" si="17"/>
        <v>2948359.1755102053</v>
      </c>
      <c r="P55" s="7">
        <f t="shared" si="4"/>
        <v>144469599.60000005</v>
      </c>
      <c r="Q55" s="164">
        <f>Q54+N55+1</f>
        <v>3122226.45</v>
      </c>
      <c r="R55" s="29">
        <f t="shared" si="2"/>
        <v>2155.8221952134013</v>
      </c>
      <c r="S55" s="5">
        <f>SUM($Q$7:$Q55)/T55</f>
        <v>3157654.3275510208</v>
      </c>
      <c r="T55" s="18">
        <v>49</v>
      </c>
      <c r="U55" s="138"/>
      <c r="V55" s="137"/>
      <c r="W55" s="105">
        <v>-2010949</v>
      </c>
      <c r="X55" s="167"/>
      <c r="Y55" s="156">
        <f t="shared" si="18"/>
        <v>-2010949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'Jan 2021'!Q48</f>
        <v>3066919.45</v>
      </c>
    </row>
    <row r="60" spans="2:31">
      <c r="D60" s="138" t="s">
        <v>4</v>
      </c>
      <c r="E60" s="139"/>
      <c r="F60" s="143"/>
      <c r="G60" s="91">
        <f>'Nov 2020'!E48</f>
        <v>0</v>
      </c>
    </row>
    <row r="61" spans="2:31">
      <c r="D61" s="138" t="s">
        <v>60</v>
      </c>
      <c r="E61" s="144"/>
      <c r="F61" s="143"/>
      <c r="G61" s="91">
        <f>'Jan 2021'!F48</f>
        <v>-613907</v>
      </c>
    </row>
    <row r="62" spans="2:31" ht="12.75" thickBot="1">
      <c r="D62" s="140" t="s">
        <v>46</v>
      </c>
      <c r="E62" s="145"/>
      <c r="F62" s="146"/>
      <c r="G62" s="158">
        <f>'Jan 2021'!Y48</f>
        <v>-1888018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2634-64A0-4466-AD06-3499CA4292F5}">
  <sheetPr codeName="Sheet23">
    <pageSetUpPr fitToPage="1"/>
  </sheetPr>
  <dimension ref="B1:IU65506"/>
  <sheetViews>
    <sheetView zoomScaleNormal="10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H33" sqref="H33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147445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44272</v>
      </c>
      <c r="C7" s="196" t="str">
        <f t="shared" ref="C7:C48" si="0">IF(OR(WEEKDAY(B7)=1,WEEKDAY(B7)=7),"F","")</f>
        <v/>
      </c>
      <c r="D7" s="197">
        <v>-83</v>
      </c>
      <c r="E7" s="197">
        <v>1</v>
      </c>
      <c r="F7" s="198">
        <v>-513080</v>
      </c>
      <c r="G7" s="199">
        <f>D7+E7+F7-G53-G54</f>
        <v>168423</v>
      </c>
      <c r="H7" s="132">
        <v>-900</v>
      </c>
      <c r="I7" s="63">
        <v>-12600</v>
      </c>
      <c r="J7" s="63">
        <v>-200</v>
      </c>
      <c r="K7" s="168">
        <f>+H7+I7+J7+184</f>
        <v>-13516</v>
      </c>
      <c r="L7" s="169">
        <v>42</v>
      </c>
      <c r="M7" s="203"/>
      <c r="N7" s="204">
        <f>L7+K7+G7+M7</f>
        <v>154949</v>
      </c>
      <c r="O7" s="205">
        <f t="shared" ref="O7:O48" si="1">P7/T7</f>
        <v>3129730.45</v>
      </c>
      <c r="P7" s="206">
        <f>(+$Q7-$Q$3)</f>
        <v>3129730.45</v>
      </c>
      <c r="Q7" s="207">
        <f>G52+N7</f>
        <v>3277175.45</v>
      </c>
      <c r="R7" s="208">
        <f t="shared" ref="R7:R48" si="2">$S7/$Q$3*100</f>
        <v>2222.6426464105261</v>
      </c>
      <c r="S7" s="209">
        <f>$Q7</f>
        <v>3277175.45</v>
      </c>
      <c r="T7" s="210">
        <v>1</v>
      </c>
      <c r="U7" s="211">
        <f>B7</f>
        <v>44272</v>
      </c>
      <c r="V7" s="212">
        <v>1856</v>
      </c>
      <c r="W7" s="213">
        <v>-1997475</v>
      </c>
      <c r="X7" s="214">
        <f>AVERAGE(W7:W11)</f>
        <v>-1993217.8</v>
      </c>
      <c r="Y7" s="215">
        <f>G55-K7-41</f>
        <v>-1997474</v>
      </c>
      <c r="Z7" s="216">
        <f>AVERAGE(Y7:Y13)</f>
        <v>-1993514.7142857143</v>
      </c>
      <c r="AA7" s="92"/>
    </row>
    <row r="8" spans="2:255">
      <c r="B8" s="116">
        <v>44273</v>
      </c>
      <c r="C8" s="14"/>
      <c r="D8" s="128"/>
      <c r="E8" s="128">
        <v>0</v>
      </c>
      <c r="F8" s="162">
        <v>-512704</v>
      </c>
      <c r="G8" s="26">
        <f>D8+E8+F8-E7-F7</f>
        <v>375</v>
      </c>
      <c r="H8" s="132">
        <v>-10900</v>
      </c>
      <c r="I8" s="63">
        <v>4300</v>
      </c>
      <c r="J8" s="63">
        <v>-200</v>
      </c>
      <c r="K8" s="170">
        <f>+H8+I8+J8</f>
        <v>-6800</v>
      </c>
      <c r="L8" s="171">
        <v>1</v>
      </c>
      <c r="M8" s="153"/>
      <c r="N8" s="149">
        <f>L8+K8+G8+M8</f>
        <v>-6424</v>
      </c>
      <c r="O8" s="67">
        <f t="shared" si="1"/>
        <v>1561653.2250000001</v>
      </c>
      <c r="P8" s="163">
        <f>(IF($Q8&lt;0,-$Q$3+P6,($Q8-$Q$3)+P6))</f>
        <v>3123306.45</v>
      </c>
      <c r="Q8" s="164">
        <f>Q7+N8</f>
        <v>3270751.45</v>
      </c>
      <c r="R8" s="29">
        <f t="shared" si="2"/>
        <v>2220.464206992438</v>
      </c>
      <c r="S8" s="165">
        <f>SUM($Q$7:$Q8)/T8</f>
        <v>3273963.45</v>
      </c>
      <c r="T8" s="166">
        <v>2</v>
      </c>
      <c r="U8" s="138">
        <f>B7+6</f>
        <v>44278</v>
      </c>
      <c r="V8" s="131"/>
      <c r="W8" s="105">
        <v>-1990676</v>
      </c>
      <c r="X8" s="167"/>
      <c r="Y8" s="156">
        <f>Y7-K8-L8-1</f>
        <v>-1990676</v>
      </c>
      <c r="Z8" s="217"/>
      <c r="AA8" s="92"/>
    </row>
    <row r="9" spans="2:255">
      <c r="B9" s="116">
        <v>44274</v>
      </c>
      <c r="C9" s="14" t="str">
        <f t="shared" si="0"/>
        <v/>
      </c>
      <c r="D9" s="87"/>
      <c r="E9" s="87">
        <v>0</v>
      </c>
      <c r="F9" s="23">
        <v>-536147</v>
      </c>
      <c r="G9" s="26">
        <f>D9+E9+F9-E8-F8</f>
        <v>-23443</v>
      </c>
      <c r="H9" s="132">
        <v>-10500</v>
      </c>
      <c r="I9" s="63">
        <v>12700</v>
      </c>
      <c r="J9" s="63">
        <v>-200</v>
      </c>
      <c r="K9" s="170">
        <f t="shared" ref="K9" si="3">+H9+I9+J9</f>
        <v>2000</v>
      </c>
      <c r="L9" s="171">
        <v>-32</v>
      </c>
      <c r="M9" s="153"/>
      <c r="N9" s="149">
        <f>L9+K9+G9+M9</f>
        <v>-21475</v>
      </c>
      <c r="O9" s="67">
        <f t="shared" si="1"/>
        <v>2077187.9666666668</v>
      </c>
      <c r="P9" s="7">
        <f>(IF($Q9&lt;0,-$Q$3+P7,($Q9-$Q$3)+P7))</f>
        <v>6231563.9000000004</v>
      </c>
      <c r="Q9" s="164">
        <f>Q8+N9+2</f>
        <v>3249278.45</v>
      </c>
      <c r="R9" s="29">
        <f t="shared" si="2"/>
        <v>2214.8842732318267</v>
      </c>
      <c r="S9" s="5">
        <f>SUM($Q$7:$Q9)/T9+1</f>
        <v>3265736.1166666672</v>
      </c>
      <c r="T9" s="17">
        <v>3</v>
      </c>
      <c r="U9" s="4"/>
      <c r="V9" s="131"/>
      <c r="W9" s="105">
        <v>-1992646</v>
      </c>
      <c r="X9" s="167"/>
      <c r="Y9" s="156">
        <f>Y8-K9-L9-2</f>
        <v>-1992646</v>
      </c>
      <c r="Z9" s="217"/>
      <c r="AA9" s="92"/>
    </row>
    <row r="10" spans="2:255">
      <c r="B10" s="116">
        <v>44275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1"/>
        <v>2333349.3375000004</v>
      </c>
      <c r="P10" s="7">
        <f t="shared" ref="P10:P48" si="4">(IF($Q10&lt;0,-$Q$3+P9,($Q10-$Q$3)+P9))</f>
        <v>9333397.3500000015</v>
      </c>
      <c r="Q10" s="164">
        <f t="shared" ref="Q10:Q18" si="5">Q9+N10</f>
        <v>3249278.45</v>
      </c>
      <c r="R10" s="29">
        <f t="shared" si="2"/>
        <v>2212.0926108040285</v>
      </c>
      <c r="S10" s="5">
        <f>SUM($Q$7:$Q10)/T10-1</f>
        <v>3261619.95</v>
      </c>
      <c r="T10" s="17">
        <v>4</v>
      </c>
      <c r="U10" s="27"/>
      <c r="V10" s="133"/>
      <c r="W10" s="105">
        <v>-1992646</v>
      </c>
      <c r="X10" s="167"/>
      <c r="Y10" s="156">
        <f>Y9-K10-L10</f>
        <v>-1992646</v>
      </c>
      <c r="Z10" s="217"/>
      <c r="AA10" s="92"/>
    </row>
    <row r="11" spans="2:255">
      <c r="B11" s="116">
        <v>44276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1"/>
        <v>2487046.16</v>
      </c>
      <c r="P11" s="7">
        <f t="shared" si="4"/>
        <v>12435230.800000001</v>
      </c>
      <c r="Q11" s="164">
        <f t="shared" si="5"/>
        <v>3249278.45</v>
      </c>
      <c r="R11" s="29">
        <f t="shared" si="2"/>
        <v>2210.4184272101465</v>
      </c>
      <c r="S11" s="5">
        <f>SUM($Q$7:$Q11)/T11-1</f>
        <v>3259151.45</v>
      </c>
      <c r="T11" s="17">
        <v>5</v>
      </c>
      <c r="U11" s="27"/>
      <c r="V11" s="134"/>
      <c r="W11" s="105">
        <v>-1992646</v>
      </c>
      <c r="X11" s="167"/>
      <c r="Y11" s="156">
        <f t="shared" ref="Y11:Y39" si="7">Y10-K11-L11</f>
        <v>-1992646</v>
      </c>
      <c r="Z11" s="217"/>
      <c r="AA11" s="92"/>
    </row>
    <row r="12" spans="2:255">
      <c r="B12" s="116">
        <v>44277</v>
      </c>
      <c r="C12" s="14" t="str">
        <f t="shared" si="0"/>
        <v/>
      </c>
      <c r="D12" s="87"/>
      <c r="E12" s="161">
        <v>1</v>
      </c>
      <c r="F12" s="23">
        <v>-537963</v>
      </c>
      <c r="G12" s="26">
        <f>D12+E12+F12-E9-F9</f>
        <v>-1815</v>
      </c>
      <c r="H12" s="132">
        <v>-200</v>
      </c>
      <c r="I12" s="63">
        <v>-900</v>
      </c>
      <c r="J12" s="63">
        <v>-400</v>
      </c>
      <c r="K12" s="170">
        <f t="shared" ref="K12:K48" si="8">+H12+I12+J12</f>
        <v>-1500</v>
      </c>
      <c r="L12" s="171">
        <v>-12</v>
      </c>
      <c r="M12" s="153"/>
      <c r="N12" s="149">
        <f t="shared" si="6"/>
        <v>-3327</v>
      </c>
      <c r="O12" s="67">
        <f t="shared" si="1"/>
        <v>2588956.0416666665</v>
      </c>
      <c r="P12" s="7">
        <f t="shared" si="4"/>
        <v>15533736.25</v>
      </c>
      <c r="Q12" s="164">
        <f>Q11+N12-1</f>
        <v>3245950.45</v>
      </c>
      <c r="R12" s="29">
        <f t="shared" si="2"/>
        <v>2208.9315450959116</v>
      </c>
      <c r="S12" s="5">
        <f>SUM($Q$7:$Q12)/T12+7</f>
        <v>3256959.1166666667</v>
      </c>
      <c r="T12" s="17">
        <v>6</v>
      </c>
      <c r="U12" s="138">
        <f>B13</f>
        <v>44278</v>
      </c>
      <c r="V12" s="131">
        <v>1882.8</v>
      </c>
      <c r="W12" s="105">
        <v>-1991133</v>
      </c>
      <c r="X12" s="167">
        <f>AVERAGE(W12:W20)</f>
        <v>-1989866.4444444445</v>
      </c>
      <c r="Y12" s="156">
        <f>Y11-K12-L12+1</f>
        <v>-1991133</v>
      </c>
      <c r="Z12" s="217">
        <f>AVERAGE(Y12:Y20)</f>
        <v>-1989866.4444444445</v>
      </c>
      <c r="AA12" s="92"/>
    </row>
    <row r="13" spans="2:255">
      <c r="B13" s="116">
        <v>44278</v>
      </c>
      <c r="C13" s="14"/>
      <c r="D13" s="87"/>
      <c r="E13" s="87">
        <v>0</v>
      </c>
      <c r="F13" s="23">
        <v>-549216</v>
      </c>
      <c r="G13" s="26">
        <f>D13+E13+F13-E12-F12</f>
        <v>-11254</v>
      </c>
      <c r="H13" s="132">
        <v>1600</v>
      </c>
      <c r="I13" s="63">
        <v>5000</v>
      </c>
      <c r="J13" s="63">
        <v>-400</v>
      </c>
      <c r="K13" s="170">
        <f t="shared" si="8"/>
        <v>6200</v>
      </c>
      <c r="L13" s="171">
        <v>48</v>
      </c>
      <c r="M13" s="153"/>
      <c r="N13" s="149">
        <f t="shared" si="6"/>
        <v>-5006</v>
      </c>
      <c r="O13" s="67">
        <f t="shared" si="1"/>
        <v>2661033.9571428569</v>
      </c>
      <c r="P13" s="7">
        <f>(IF($Q13&lt;0,-$Q$3+P12,($Q13-$Q$3)+P12))</f>
        <v>18627237.699999999</v>
      </c>
      <c r="Q13" s="164">
        <f>Q12+N13+2</f>
        <v>3240946.45</v>
      </c>
      <c r="R13" s="29">
        <f t="shared" si="2"/>
        <v>2207.3801029923989</v>
      </c>
      <c r="S13" s="5">
        <f>SUM($Q$7:$Q13)/T13+6</f>
        <v>3254671.5928571424</v>
      </c>
      <c r="T13" s="17">
        <v>7</v>
      </c>
      <c r="U13" s="138">
        <f>B14+6</f>
        <v>44285</v>
      </c>
      <c r="V13" s="249"/>
      <c r="W13" s="105">
        <v>-1997382</v>
      </c>
      <c r="X13" s="167"/>
      <c r="Y13" s="156">
        <f>Y12-K13-L13-1</f>
        <v>-1997382</v>
      </c>
      <c r="Z13" s="217"/>
      <c r="AA13" s="92"/>
      <c r="AB13" s="92"/>
    </row>
    <row r="14" spans="2:255">
      <c r="B14" s="116">
        <v>44279</v>
      </c>
      <c r="C14" s="14"/>
      <c r="D14" s="87">
        <f>-15677-609+330501+271</f>
        <v>314486</v>
      </c>
      <c r="E14" s="87">
        <v>15</v>
      </c>
      <c r="F14" s="23">
        <v>-558505</v>
      </c>
      <c r="G14" s="26">
        <f>D14+E14+F14-E13-F13</f>
        <v>305212</v>
      </c>
      <c r="H14" s="132">
        <v>300</v>
      </c>
      <c r="I14" s="63">
        <v>-3500</v>
      </c>
      <c r="J14" s="63">
        <v>-500</v>
      </c>
      <c r="K14" s="170">
        <f t="shared" si="8"/>
        <v>-3700</v>
      </c>
      <c r="L14" s="171">
        <v>6</v>
      </c>
      <c r="M14" s="154"/>
      <c r="N14" s="149">
        <f>L14+K14+G14+M14</f>
        <v>301518</v>
      </c>
      <c r="O14" s="67">
        <f t="shared" si="1"/>
        <v>2752774.8937499998</v>
      </c>
      <c r="P14" s="7">
        <f t="shared" si="4"/>
        <v>22022199.149999999</v>
      </c>
      <c r="Q14" s="164">
        <f>Q13+N14-59+1</f>
        <v>3542406.45</v>
      </c>
      <c r="R14" s="29">
        <f t="shared" si="2"/>
        <v>2231.7692698972496</v>
      </c>
      <c r="S14" s="5">
        <f>SUM($Q$7:$Q14)/T14-1</f>
        <v>3290632.1999999997</v>
      </c>
      <c r="T14" s="17">
        <v>8</v>
      </c>
      <c r="U14" s="4"/>
      <c r="V14" s="4"/>
      <c r="W14" s="105">
        <v>-1993686</v>
      </c>
      <c r="X14" s="167"/>
      <c r="Y14" s="156">
        <f>Y13-K14-L14+2</f>
        <v>-1993686</v>
      </c>
      <c r="Z14" s="217"/>
      <c r="AA14" s="92"/>
    </row>
    <row r="15" spans="2:255">
      <c r="B15" s="116">
        <v>44280</v>
      </c>
      <c r="C15" s="14" t="str">
        <f t="shared" si="0"/>
        <v/>
      </c>
      <c r="D15" s="87">
        <v>421</v>
      </c>
      <c r="E15" s="87">
        <v>10</v>
      </c>
      <c r="F15" s="23">
        <v>-608278</v>
      </c>
      <c r="G15" s="26">
        <f>D15+E15+F15-E14-F14</f>
        <v>-49357</v>
      </c>
      <c r="H15" s="132">
        <v>300</v>
      </c>
      <c r="I15" s="63">
        <v>-3700</v>
      </c>
      <c r="J15" s="63">
        <v>-500</v>
      </c>
      <c r="K15" s="170">
        <f t="shared" si="8"/>
        <v>-3900</v>
      </c>
      <c r="L15" s="172">
        <v>42</v>
      </c>
      <c r="M15" s="153"/>
      <c r="N15" s="149">
        <f>L15+K15+G15+M15</f>
        <v>-53215</v>
      </c>
      <c r="O15" s="67">
        <f t="shared" si="1"/>
        <v>2818216.1777777774</v>
      </c>
      <c r="P15" s="7">
        <f t="shared" si="4"/>
        <v>25363945.599999998</v>
      </c>
      <c r="Q15" s="164">
        <f>Q14+N15</f>
        <v>3489191.45</v>
      </c>
      <c r="R15" s="29">
        <f t="shared" si="2"/>
        <v>2246.7362255605663</v>
      </c>
      <c r="S15" s="5">
        <f>SUM($Q$7:$Q15)/T15+5</f>
        <v>3312700.2277777772</v>
      </c>
      <c r="T15" s="17">
        <v>9</v>
      </c>
      <c r="U15" s="4"/>
      <c r="V15" s="4"/>
      <c r="W15" s="105">
        <v>-1989829</v>
      </c>
      <c r="X15" s="167"/>
      <c r="Y15" s="156">
        <f>Y14-K15-L15-1</f>
        <v>-1989829</v>
      </c>
      <c r="Z15" s="217"/>
      <c r="AA15" s="92"/>
      <c r="AB15" s="92"/>
    </row>
    <row r="16" spans="2:255" s="69" customFormat="1">
      <c r="B16" s="116">
        <v>44281</v>
      </c>
      <c r="C16" s="14"/>
      <c r="D16" s="129"/>
      <c r="E16" s="87">
        <v>2</v>
      </c>
      <c r="F16" s="23">
        <v>-643890</v>
      </c>
      <c r="G16" s="26">
        <f>D16+E16+F16-E15-F15</f>
        <v>-35620</v>
      </c>
      <c r="H16" s="132">
        <v>300</v>
      </c>
      <c r="I16" s="63">
        <v>-8100</v>
      </c>
      <c r="J16" s="63">
        <v>-500</v>
      </c>
      <c r="K16" s="170">
        <f t="shared" si="8"/>
        <v>-8300</v>
      </c>
      <c r="L16" s="172">
        <v>-28</v>
      </c>
      <c r="M16" s="153"/>
      <c r="N16" s="152">
        <f>L16+K16+G16+M16</f>
        <v>-43948</v>
      </c>
      <c r="O16" s="67">
        <f t="shared" si="1"/>
        <v>2866174.5049999999</v>
      </c>
      <c r="P16" s="70">
        <f t="shared" si="4"/>
        <v>28661745.049999997</v>
      </c>
      <c r="Q16" s="164">
        <f>Q15+N16+1</f>
        <v>3445244.45</v>
      </c>
      <c r="R16" s="71">
        <f t="shared" si="2"/>
        <v>2255.7225745193118</v>
      </c>
      <c r="S16" s="72">
        <f>SUM($Q$7:$Q16)/T16</f>
        <v>3325950.1499999994</v>
      </c>
      <c r="T16" s="73">
        <v>10</v>
      </c>
      <c r="U16" s="218"/>
      <c r="V16" s="133"/>
      <c r="W16" s="105">
        <v>-1981501</v>
      </c>
      <c r="X16" s="167"/>
      <c r="Y16" s="156">
        <f>Y15-K16-L16</f>
        <v>-1981501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44282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2905413.1363636362</v>
      </c>
      <c r="P17" s="7">
        <f t="shared" si="4"/>
        <v>31959544.499999996</v>
      </c>
      <c r="Q17" s="164">
        <f t="shared" si="5"/>
        <v>3445244.45</v>
      </c>
      <c r="R17" s="29">
        <f t="shared" si="2"/>
        <v>2263.0778163814548</v>
      </c>
      <c r="S17" s="5">
        <f>SUM($Q$7:$Q17)/T17</f>
        <v>3336795.086363636</v>
      </c>
      <c r="T17" s="18">
        <v>11</v>
      </c>
      <c r="U17" s="27"/>
      <c r="V17" s="136"/>
      <c r="W17" s="105">
        <v>-1981501</v>
      </c>
      <c r="X17" s="167"/>
      <c r="Y17" s="156">
        <f t="shared" si="7"/>
        <v>-1981501</v>
      </c>
      <c r="Z17" s="217"/>
      <c r="AA17" s="92"/>
      <c r="AC17" s="92"/>
    </row>
    <row r="18" spans="2:31">
      <c r="B18" s="116">
        <v>44283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2938111.9958333331</v>
      </c>
      <c r="P18" s="7">
        <f t="shared" si="4"/>
        <v>35257343.949999996</v>
      </c>
      <c r="Q18" s="164">
        <f t="shared" si="5"/>
        <v>3445244.45</v>
      </c>
      <c r="R18" s="29">
        <f t="shared" si="2"/>
        <v>2269.2065063809105</v>
      </c>
      <c r="S18" s="5">
        <f>SUM($Q$7:$Q18)/T18-1</f>
        <v>3345831.5333333332</v>
      </c>
      <c r="T18" s="18">
        <v>12</v>
      </c>
      <c r="U18" s="27"/>
      <c r="V18" s="136"/>
      <c r="W18" s="105">
        <v>-1981501</v>
      </c>
      <c r="X18" s="167"/>
      <c r="Y18" s="156">
        <f t="shared" si="7"/>
        <v>-1981501</v>
      </c>
      <c r="Z18" s="217"/>
      <c r="AA18" s="92"/>
    </row>
    <row r="19" spans="2:31">
      <c r="B19" s="116">
        <v>44284</v>
      </c>
      <c r="C19" s="14" t="str">
        <f t="shared" si="0"/>
        <v/>
      </c>
      <c r="D19" s="87"/>
      <c r="E19" s="87">
        <v>2</v>
      </c>
      <c r="F19" s="23">
        <v>-659316</v>
      </c>
      <c r="G19" s="26">
        <f>D19+E19+F19-E16-F16</f>
        <v>-15426</v>
      </c>
      <c r="H19" s="132">
        <v>300</v>
      </c>
      <c r="I19" s="63">
        <v>17200</v>
      </c>
      <c r="J19" s="63">
        <v>-1500</v>
      </c>
      <c r="K19" s="170">
        <f t="shared" si="8"/>
        <v>16000</v>
      </c>
      <c r="L19" s="171">
        <v>15</v>
      </c>
      <c r="M19" s="153"/>
      <c r="N19" s="149">
        <f t="shared" si="6"/>
        <v>589</v>
      </c>
      <c r="O19" s="67">
        <f t="shared" si="1"/>
        <v>2965825.7230769228</v>
      </c>
      <c r="P19" s="7">
        <f t="shared" si="4"/>
        <v>38555734.399999999</v>
      </c>
      <c r="Q19" s="164">
        <f>Q18+N19+2</f>
        <v>3445835.45</v>
      </c>
      <c r="R19" s="29">
        <f t="shared" si="2"/>
        <v>2274.4237277524608</v>
      </c>
      <c r="S19" s="5">
        <f>SUM($Q$7:$Q19)/T19-1</f>
        <v>3353524.0653846157</v>
      </c>
      <c r="T19" s="18">
        <v>13</v>
      </c>
      <c r="U19" s="138">
        <f>B19</f>
        <v>44284</v>
      </c>
      <c r="V19" s="131">
        <v>1876.9</v>
      </c>
      <c r="W19" s="105">
        <v>-1997518</v>
      </c>
      <c r="X19" s="167">
        <f>AVERAGE(W19:W27)</f>
        <v>-2014345.888888889</v>
      </c>
      <c r="Y19" s="156">
        <f>Y18-K19-L19-2</f>
        <v>-1997518</v>
      </c>
      <c r="Z19" s="217">
        <f>AVERAGE(Y20:Y27)</f>
        <v>-2016449.375</v>
      </c>
      <c r="AA19" s="92"/>
    </row>
    <row r="20" spans="2:31">
      <c r="B20" s="116">
        <v>44285</v>
      </c>
      <c r="C20" s="14"/>
      <c r="D20" s="87"/>
      <c r="E20" s="87">
        <v>1</v>
      </c>
      <c r="F20" s="23">
        <v>-644515</v>
      </c>
      <c r="G20" s="26">
        <f>D20+E20+F20-E19-F19</f>
        <v>14800</v>
      </c>
      <c r="H20" s="132">
        <v>300</v>
      </c>
      <c r="I20" s="63">
        <v>-1600</v>
      </c>
      <c r="J20" s="63">
        <v>-1500</v>
      </c>
      <c r="K20" s="170">
        <f t="shared" si="8"/>
        <v>-2800</v>
      </c>
      <c r="L20" s="171">
        <v>28</v>
      </c>
      <c r="M20" s="153"/>
      <c r="N20" s="149">
        <f t="shared" si="6"/>
        <v>12028</v>
      </c>
      <c r="O20" s="67">
        <f t="shared" si="1"/>
        <v>2990439.5607142858</v>
      </c>
      <c r="P20" s="7">
        <f t="shared" si="4"/>
        <v>41866153.850000001</v>
      </c>
      <c r="Q20" s="164">
        <f>Q19+N20+1</f>
        <v>3457864.45</v>
      </c>
      <c r="R20" s="29">
        <f t="shared" si="2"/>
        <v>2279.4783672362096</v>
      </c>
      <c r="S20" s="5">
        <f>SUM($Q$7:$Q20)/T20-1</f>
        <v>3360976.8785714288</v>
      </c>
      <c r="T20" s="18">
        <v>14</v>
      </c>
      <c r="U20" s="138">
        <f>B19+8</f>
        <v>44292</v>
      </c>
      <c r="V20" s="131"/>
      <c r="W20" s="105">
        <v>-1994747</v>
      </c>
      <c r="X20" s="167"/>
      <c r="Y20" s="156">
        <f>Y19-K20-L20-1</f>
        <v>-1994747</v>
      </c>
      <c r="Z20" s="217"/>
      <c r="AA20" s="92"/>
      <c r="AB20" s="92"/>
    </row>
    <row r="21" spans="2:31">
      <c r="B21" s="116">
        <v>44286</v>
      </c>
      <c r="C21" s="14" t="str">
        <f t="shared" si="0"/>
        <v/>
      </c>
      <c r="D21" s="87">
        <f>-271+461</f>
        <v>190</v>
      </c>
      <c r="E21" s="87">
        <v>10</v>
      </c>
      <c r="F21" s="23">
        <v>-728595</v>
      </c>
      <c r="G21" s="26">
        <f>D21+E21+F21-E20-F20</f>
        <v>-83881</v>
      </c>
      <c r="H21" s="132">
        <v>300</v>
      </c>
      <c r="I21" s="63">
        <v>-46500</v>
      </c>
      <c r="J21" s="63">
        <v>-1600</v>
      </c>
      <c r="K21" s="170">
        <f t="shared" si="8"/>
        <v>-47800</v>
      </c>
      <c r="L21" s="171">
        <v>-44</v>
      </c>
      <c r="M21" s="153"/>
      <c r="N21" s="149">
        <f>L21+K21+G21+M21</f>
        <v>-131725</v>
      </c>
      <c r="O21" s="67">
        <f t="shared" si="1"/>
        <v>3002989.8200000003</v>
      </c>
      <c r="P21" s="7">
        <f t="shared" si="4"/>
        <v>45044847.300000004</v>
      </c>
      <c r="Q21" s="164">
        <f>Q20+N21-1</f>
        <v>3326138.45</v>
      </c>
      <c r="R21" s="29">
        <f t="shared" si="2"/>
        <v>2277.9031164162911</v>
      </c>
      <c r="S21" s="5">
        <f>SUM($Q$7:$Q21)/T21-1</f>
        <v>3358654.2500000005</v>
      </c>
      <c r="T21" s="18">
        <v>15</v>
      </c>
      <c r="U21" s="4"/>
      <c r="V21" s="131"/>
      <c r="W21" s="105">
        <v>-1946903</v>
      </c>
      <c r="X21" s="167"/>
      <c r="Y21" s="156">
        <f>Y20-K21-L21</f>
        <v>-1946903</v>
      </c>
      <c r="Z21" s="217"/>
      <c r="AA21" s="92"/>
    </row>
    <row r="22" spans="2:31">
      <c r="B22" s="116">
        <v>44287</v>
      </c>
      <c r="C22" s="14" t="str">
        <f t="shared" si="0"/>
        <v/>
      </c>
      <c r="D22" s="87">
        <f>-478+93</f>
        <v>-385</v>
      </c>
      <c r="E22" s="87">
        <v>0</v>
      </c>
      <c r="F22" s="23">
        <v>-734040</v>
      </c>
      <c r="G22" s="26">
        <f>D22+E22+F22-E21-F21</f>
        <v>-5840</v>
      </c>
      <c r="H22" s="132">
        <v>10300</v>
      </c>
      <c r="I22" s="63">
        <v>71300</v>
      </c>
      <c r="J22" s="63">
        <v>-1600</v>
      </c>
      <c r="K22" s="170">
        <f t="shared" si="8"/>
        <v>80000</v>
      </c>
      <c r="L22" s="171">
        <v>46</v>
      </c>
      <c r="M22" s="153"/>
      <c r="N22" s="149">
        <f>L22+K22+G22+M22</f>
        <v>74206</v>
      </c>
      <c r="O22" s="67">
        <f t="shared" si="1"/>
        <v>3018609.1093750005</v>
      </c>
      <c r="P22" s="7">
        <f t="shared" si="4"/>
        <v>48297745.750000007</v>
      </c>
      <c r="Q22" s="164">
        <f t="shared" ref="Q22:Q26" si="9">Q21+N22-1</f>
        <v>3400343.45</v>
      </c>
      <c r="R22" s="29">
        <f t="shared" si="2"/>
        <v>2279.6729373664762</v>
      </c>
      <c r="S22" s="5">
        <f>SUM($Q$7:$Q22)/T22+3</f>
        <v>3361263.7625000007</v>
      </c>
      <c r="T22" s="18">
        <v>16</v>
      </c>
      <c r="U22" s="4"/>
      <c r="V22" s="131"/>
      <c r="W22" s="105">
        <v>-2026948</v>
      </c>
      <c r="X22" s="167"/>
      <c r="Y22" s="156">
        <f>Y21-K22-L22+1</f>
        <v>-2026948</v>
      </c>
      <c r="Z22" s="217"/>
      <c r="AA22" s="92"/>
    </row>
    <row r="23" spans="2:31">
      <c r="B23" s="116">
        <v>44288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>
        <f t="shared" si="8"/>
        <v>0</v>
      </c>
      <c r="L23" s="171"/>
      <c r="M23" s="153"/>
      <c r="N23" s="149">
        <f>L23+K23+G23+M23</f>
        <v>0</v>
      </c>
      <c r="O23" s="67">
        <f t="shared" si="1"/>
        <v>3032390.776470589</v>
      </c>
      <c r="P23" s="7">
        <f t="shared" si="4"/>
        <v>51550643.20000001</v>
      </c>
      <c r="Q23" s="164">
        <f t="shared" si="9"/>
        <v>3400342.45</v>
      </c>
      <c r="R23" s="29">
        <f t="shared" si="2"/>
        <v>2281.2300758208949</v>
      </c>
      <c r="S23" s="5">
        <f>SUM($Q$7:$Q23)/T23</f>
        <v>3363559.6852941182</v>
      </c>
      <c r="T23" s="18">
        <v>17</v>
      </c>
      <c r="U23" s="27"/>
      <c r="V23" s="135"/>
      <c r="W23" s="105">
        <v>-2026948</v>
      </c>
      <c r="X23" s="167"/>
      <c r="Y23" s="156">
        <f>Y22-K23-L23</f>
        <v>-2026948</v>
      </c>
      <c r="Z23" s="217"/>
      <c r="AA23" s="92"/>
    </row>
    <row r="24" spans="2:31">
      <c r="B24" s="116">
        <v>44289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3044641.0916666673</v>
      </c>
      <c r="P24" s="7">
        <f t="shared" si="4"/>
        <v>54803539.650000013</v>
      </c>
      <c r="Q24" s="164">
        <f t="shared" si="9"/>
        <v>3400341.45</v>
      </c>
      <c r="R24" s="29">
        <f t="shared" si="2"/>
        <v>2282.6159697966482</v>
      </c>
      <c r="S24" s="5">
        <f>SUM($Q$7:$Q24)/T24</f>
        <v>3365603.1166666676</v>
      </c>
      <c r="T24" s="18">
        <v>18</v>
      </c>
      <c r="U24" s="4"/>
      <c r="V24" s="135"/>
      <c r="W24" s="105">
        <v>-2026948</v>
      </c>
      <c r="X24" s="167"/>
      <c r="Y24" s="156">
        <f t="shared" si="7"/>
        <v>-2026948</v>
      </c>
      <c r="Z24" s="217"/>
      <c r="AA24" s="92"/>
      <c r="AD24" s="1"/>
      <c r="AE24" s="1"/>
    </row>
    <row r="25" spans="2:31">
      <c r="B25" s="116">
        <v>44290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3055601.847368422</v>
      </c>
      <c r="P25" s="7">
        <f t="shared" si="4"/>
        <v>58056435.100000016</v>
      </c>
      <c r="Q25" s="164">
        <f t="shared" si="9"/>
        <v>3400340.45</v>
      </c>
      <c r="R25" s="29">
        <f t="shared" si="2"/>
        <v>2283.8552662812722</v>
      </c>
      <c r="S25" s="5">
        <f>SUM($Q$7:$Q25)/T25-1</f>
        <v>3367430.3973684222</v>
      </c>
      <c r="T25" s="18">
        <v>19</v>
      </c>
      <c r="U25" s="4"/>
      <c r="V25" s="131"/>
      <c r="W25" s="105">
        <v>-2026948</v>
      </c>
      <c r="X25" s="167"/>
      <c r="Y25" s="156">
        <f t="shared" si="7"/>
        <v>-2026948</v>
      </c>
      <c r="Z25" s="217"/>
      <c r="AA25" s="92"/>
      <c r="AD25" s="1"/>
      <c r="AE25" s="1"/>
    </row>
    <row r="26" spans="2:31">
      <c r="B26" s="116">
        <v>44291</v>
      </c>
      <c r="C26" s="14" t="s">
        <v>242</v>
      </c>
      <c r="D26" s="87"/>
      <c r="E26" s="87"/>
      <c r="F26" s="23"/>
      <c r="G26" s="26"/>
      <c r="H26" s="132"/>
      <c r="I26" s="63"/>
      <c r="J26" s="63"/>
      <c r="K26" s="170">
        <f>+H26+I26+J26</f>
        <v>0</v>
      </c>
      <c r="L26" s="171"/>
      <c r="M26" s="153"/>
      <c r="N26" s="149">
        <f t="shared" si="6"/>
        <v>0</v>
      </c>
      <c r="O26" s="67">
        <f t="shared" si="1"/>
        <v>3065466.477500001</v>
      </c>
      <c r="P26" s="7">
        <f t="shared" si="4"/>
        <v>61309329.550000019</v>
      </c>
      <c r="Q26" s="164">
        <f t="shared" si="9"/>
        <v>3400339.45</v>
      </c>
      <c r="R26" s="29">
        <f t="shared" si="2"/>
        <v>2284.9712096035814</v>
      </c>
      <c r="S26" s="5">
        <f>SUM($Q$7:$Q26)/T26-1</f>
        <v>3369075.8000000007</v>
      </c>
      <c r="T26" s="18">
        <v>20</v>
      </c>
      <c r="U26" s="138">
        <f>B26</f>
        <v>44291</v>
      </c>
      <c r="V26" s="131">
        <v>1865.9</v>
      </c>
      <c r="W26" s="105">
        <v>-2026948</v>
      </c>
      <c r="X26" s="167">
        <f>AVERAGE(W26:W34)</f>
        <v>-2082920.5555555555</v>
      </c>
      <c r="Y26" s="156">
        <f>Y25-K26-L26</f>
        <v>-2026948</v>
      </c>
      <c r="Z26" s="217">
        <f>AVERAGE(Y26:Y34)</f>
        <v>-2082920.5555555555</v>
      </c>
      <c r="AC26" s="92"/>
      <c r="AD26" s="1"/>
      <c r="AE26" s="1"/>
    </row>
    <row r="27" spans="2:31">
      <c r="B27" s="116">
        <v>44292</v>
      </c>
      <c r="C27" s="14" t="str">
        <f t="shared" si="0"/>
        <v/>
      </c>
      <c r="D27" s="87"/>
      <c r="E27" s="87">
        <v>0</v>
      </c>
      <c r="F27" s="23">
        <v>-727610</v>
      </c>
      <c r="G27" s="26">
        <f>D27+E27+F27-E22-F22</f>
        <v>6430</v>
      </c>
      <c r="H27" s="132">
        <v>300</v>
      </c>
      <c r="I27" s="63">
        <v>27800</v>
      </c>
      <c r="J27" s="63">
        <v>200</v>
      </c>
      <c r="K27" s="170">
        <f t="shared" si="8"/>
        <v>28300</v>
      </c>
      <c r="L27" s="171">
        <v>-44</v>
      </c>
      <c r="M27" s="153"/>
      <c r="N27" s="149">
        <f>L27+K27+G27+M27</f>
        <v>34686</v>
      </c>
      <c r="O27" s="67">
        <f t="shared" si="1"/>
        <v>3076043.4761904771</v>
      </c>
      <c r="P27" s="7">
        <f t="shared" si="4"/>
        <v>64596913.000000022</v>
      </c>
      <c r="Q27" s="164">
        <f>Q26+N27+3</f>
        <v>3435028.45</v>
      </c>
      <c r="R27" s="29">
        <f t="shared" si="2"/>
        <v>2287.1011935039542</v>
      </c>
      <c r="S27" s="5">
        <f>SUM($Q$7:$Q27)/T27-1</f>
        <v>3372216.3547619055</v>
      </c>
      <c r="T27" s="18">
        <v>21</v>
      </c>
      <c r="U27" s="138">
        <f>B28+6</f>
        <v>44299</v>
      </c>
      <c r="V27" s="159"/>
      <c r="W27" s="105">
        <v>-2055205</v>
      </c>
      <c r="X27" s="167"/>
      <c r="Y27" s="156">
        <f>Y26-K27-L27-1</f>
        <v>-2055205</v>
      </c>
      <c r="Z27" s="217"/>
      <c r="AA27" s="92"/>
      <c r="AD27" s="1"/>
      <c r="AE27" s="1"/>
    </row>
    <row r="28" spans="2:31">
      <c r="B28" s="116">
        <v>44293</v>
      </c>
      <c r="C28" s="14" t="str">
        <f t="shared" si="0"/>
        <v/>
      </c>
      <c r="D28" s="87">
        <f>-461+190</f>
        <v>-271</v>
      </c>
      <c r="E28" s="87">
        <v>0</v>
      </c>
      <c r="F28" s="23">
        <v>-733858</v>
      </c>
      <c r="G28" s="26">
        <f>D28+E28+F28-E27-F27</f>
        <v>-6519</v>
      </c>
      <c r="H28" s="132">
        <v>300</v>
      </c>
      <c r="I28" s="63">
        <v>11300</v>
      </c>
      <c r="J28" s="63">
        <v>200</v>
      </c>
      <c r="K28" s="170">
        <f t="shared" si="8"/>
        <v>11800</v>
      </c>
      <c r="L28" s="171">
        <v>-29</v>
      </c>
      <c r="M28" s="153"/>
      <c r="N28" s="149">
        <f>L28+K28+G28+M28</f>
        <v>5252</v>
      </c>
      <c r="O28" s="67">
        <f t="shared" si="1"/>
        <v>3085897.6568181827</v>
      </c>
      <c r="P28" s="7">
        <f t="shared" si="4"/>
        <v>67889748.450000018</v>
      </c>
      <c r="Q28" s="164">
        <f>Q27+N28</f>
        <v>3440280.45</v>
      </c>
      <c r="R28" s="29">
        <f t="shared" si="2"/>
        <v>2289.1994518757388</v>
      </c>
      <c r="S28" s="5">
        <f>SUM($Q$7:$Q28)/T28-1</f>
        <v>3375310.1318181828</v>
      </c>
      <c r="T28" s="18">
        <v>22</v>
      </c>
      <c r="U28" s="4"/>
      <c r="V28" s="131"/>
      <c r="W28" s="105">
        <v>-2066976</v>
      </c>
      <c r="X28" s="167"/>
      <c r="Y28" s="156">
        <f>Y27-K28-L28</f>
        <v>-2066976</v>
      </c>
      <c r="Z28" s="217"/>
      <c r="AA28" s="92"/>
      <c r="AD28" s="1"/>
      <c r="AE28" s="1"/>
    </row>
    <row r="29" spans="2:31">
      <c r="B29" s="116">
        <v>44294</v>
      </c>
      <c r="C29" s="14" t="str">
        <f t="shared" si="0"/>
        <v/>
      </c>
      <c r="D29" s="87"/>
      <c r="E29" s="87">
        <v>0</v>
      </c>
      <c r="F29" s="23">
        <v>-734482</v>
      </c>
      <c r="G29" s="26">
        <f>D29+E29+F29-E28-F28</f>
        <v>-624</v>
      </c>
      <c r="H29" s="132">
        <v>300</v>
      </c>
      <c r="I29" s="63">
        <v>5600</v>
      </c>
      <c r="J29" s="63">
        <v>100</v>
      </c>
      <c r="K29" s="170">
        <f t="shared" si="8"/>
        <v>6000</v>
      </c>
      <c r="L29" s="171">
        <v>20</v>
      </c>
      <c r="M29" s="153"/>
      <c r="N29" s="149">
        <f>L29+K29+G29+M29</f>
        <v>5396</v>
      </c>
      <c r="O29" s="67">
        <f t="shared" si="1"/>
        <v>3095129.6913043489</v>
      </c>
      <c r="P29" s="7">
        <f t="shared" si="4"/>
        <v>71187982.900000021</v>
      </c>
      <c r="Q29" s="164">
        <f>Q28+N29+3</f>
        <v>3445679.45</v>
      </c>
      <c r="R29" s="29">
        <f t="shared" si="2"/>
        <v>2291.2744575353822</v>
      </c>
      <c r="S29" s="5">
        <f>SUM($Q$7:$Q29)/T29-1</f>
        <v>3378369.6239130446</v>
      </c>
      <c r="T29" s="18">
        <v>23</v>
      </c>
      <c r="U29" s="4"/>
      <c r="V29" s="131"/>
      <c r="W29" s="105">
        <v>-2072998</v>
      </c>
      <c r="X29" s="167"/>
      <c r="Y29" s="156">
        <f>Y28-K29-L29-2</f>
        <v>-2072998</v>
      </c>
      <c r="Z29" s="217"/>
      <c r="AA29" s="92"/>
      <c r="AD29" s="1"/>
      <c r="AE29" s="1"/>
    </row>
    <row r="30" spans="2:31">
      <c r="B30" s="116">
        <v>44295</v>
      </c>
      <c r="C30" s="14" t="str">
        <f t="shared" si="0"/>
        <v/>
      </c>
      <c r="D30" s="87"/>
      <c r="E30" s="87">
        <v>1</v>
      </c>
      <c r="F30" s="23">
        <v>-743535</v>
      </c>
      <c r="G30" s="26">
        <f>D30+E30+F30-E29-F29</f>
        <v>-9052</v>
      </c>
      <c r="H30" s="132">
        <v>300</v>
      </c>
      <c r="I30" s="25">
        <v>33200</v>
      </c>
      <c r="J30" s="25">
        <v>100</v>
      </c>
      <c r="K30" s="170">
        <f t="shared" si="8"/>
        <v>33600</v>
      </c>
      <c r="L30" s="171">
        <v>-23</v>
      </c>
      <c r="M30" s="153"/>
      <c r="N30" s="149">
        <f>L30+K30+G30+M30</f>
        <v>24525</v>
      </c>
      <c r="O30" s="67">
        <f t="shared" si="1"/>
        <v>3104614.2645833343</v>
      </c>
      <c r="P30" s="7">
        <f t="shared" si="4"/>
        <v>74510742.350000024</v>
      </c>
      <c r="Q30" s="164">
        <f t="shared" ref="Q30:Q46" si="10">Q29+N30</f>
        <v>3470204.45</v>
      </c>
      <c r="R30" s="29">
        <f t="shared" si="2"/>
        <v>2293.8743486271724</v>
      </c>
      <c r="S30" s="5">
        <f>SUM($Q$7:$Q30)/T30+6</f>
        <v>3382203.0333333346</v>
      </c>
      <c r="T30" s="18">
        <v>24</v>
      </c>
      <c r="U30" s="4"/>
      <c r="V30" s="131"/>
      <c r="W30" s="105">
        <v>-2106575</v>
      </c>
      <c r="X30" s="167"/>
      <c r="Y30" s="156">
        <f>Y29-K30-L30</f>
        <v>-2106575</v>
      </c>
      <c r="Z30" s="217"/>
      <c r="AA30" s="92"/>
      <c r="AD30" s="1"/>
      <c r="AE30" s="1"/>
    </row>
    <row r="31" spans="2:31">
      <c r="B31" s="116">
        <v>44296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3113340.0720000011</v>
      </c>
      <c r="P31" s="7">
        <f t="shared" si="4"/>
        <v>77833501.800000027</v>
      </c>
      <c r="Q31" s="164">
        <f t="shared" si="10"/>
        <v>3470204.45</v>
      </c>
      <c r="R31" s="29">
        <f t="shared" si="2"/>
        <v>2296.2591678252911</v>
      </c>
      <c r="S31" s="5">
        <f>SUM($Q$7:$Q31)/T31+2</f>
        <v>3385719.330000001</v>
      </c>
      <c r="T31" s="18">
        <v>25</v>
      </c>
      <c r="U31" s="4"/>
      <c r="V31" s="137"/>
      <c r="W31" s="105">
        <v>-2106575</v>
      </c>
      <c r="X31" s="167"/>
      <c r="Y31" s="156">
        <f t="shared" si="7"/>
        <v>-2106575</v>
      </c>
      <c r="Z31" s="217"/>
      <c r="AA31" s="92"/>
      <c r="AB31" s="92"/>
      <c r="AD31" s="1"/>
      <c r="AE31" s="1"/>
    </row>
    <row r="32" spans="2:31">
      <c r="B32" s="116">
        <v>44297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3121394.6634615394</v>
      </c>
      <c r="P32" s="7">
        <f t="shared" si="4"/>
        <v>81156261.25000003</v>
      </c>
      <c r="Q32" s="164">
        <f t="shared" si="10"/>
        <v>3470204.45</v>
      </c>
      <c r="R32" s="29">
        <f t="shared" si="2"/>
        <v>2298.4576178340303</v>
      </c>
      <c r="S32" s="5">
        <f>SUM($Q$7:$Q32)/T32-6</f>
        <v>3388960.8346153861</v>
      </c>
      <c r="T32" s="18">
        <v>26</v>
      </c>
      <c r="U32" s="27"/>
      <c r="V32" s="137"/>
      <c r="W32" s="105">
        <v>-2106575</v>
      </c>
      <c r="X32" s="167"/>
      <c r="Y32" s="156">
        <f t="shared" si="7"/>
        <v>-2106575</v>
      </c>
      <c r="Z32" s="217"/>
      <c r="AD32" s="1"/>
      <c r="AE32" s="1"/>
    </row>
    <row r="33" spans="2:31">
      <c r="B33" s="116">
        <v>44298</v>
      </c>
      <c r="C33" s="14" t="str">
        <f t="shared" si="0"/>
        <v/>
      </c>
      <c r="D33" s="87"/>
      <c r="E33" s="87">
        <v>0</v>
      </c>
      <c r="F33" s="23">
        <v>-740898</v>
      </c>
      <c r="G33" s="26">
        <f>D33+E33+F33-E30-F30</f>
        <v>2636</v>
      </c>
      <c r="H33" s="132">
        <v>300</v>
      </c>
      <c r="I33" s="25">
        <v>-9600</v>
      </c>
      <c r="J33" s="25">
        <v>-100</v>
      </c>
      <c r="K33" s="170">
        <f t="shared" si="8"/>
        <v>-9400</v>
      </c>
      <c r="L33" s="171">
        <v>-47</v>
      </c>
      <c r="M33" s="153"/>
      <c r="N33" s="149">
        <f t="shared" si="6"/>
        <v>-6811</v>
      </c>
      <c r="O33" s="67">
        <f t="shared" si="1"/>
        <v>3128600.3592592604</v>
      </c>
      <c r="P33" s="7">
        <f t="shared" si="4"/>
        <v>84472209.700000033</v>
      </c>
      <c r="Q33" s="164">
        <f t="shared" si="10"/>
        <v>3463393.45</v>
      </c>
      <c r="R33" s="29">
        <f t="shared" si="2"/>
        <v>2300.3305476116025</v>
      </c>
      <c r="S33" s="5">
        <f>SUM($Q$7:$Q33)/T33-1</f>
        <v>3391722.3759259274</v>
      </c>
      <c r="T33" s="18">
        <v>27</v>
      </c>
      <c r="U33" s="138">
        <f>B33</f>
        <v>44298</v>
      </c>
      <c r="V33" s="131">
        <v>1856.7</v>
      </c>
      <c r="W33" s="105">
        <v>-2097128</v>
      </c>
      <c r="X33" s="167">
        <f>AVERAGE(W33:W41)</f>
        <v>-2084944</v>
      </c>
      <c r="Y33" s="156">
        <f>Y32-K33-L33</f>
        <v>-2097128</v>
      </c>
      <c r="Z33" s="217">
        <f>AVERAGE(Y33:Y41)</f>
        <v>-2084944</v>
      </c>
      <c r="AD33" s="1"/>
      <c r="AE33" s="1"/>
    </row>
    <row r="34" spans="2:31">
      <c r="B34" s="116">
        <v>44299</v>
      </c>
      <c r="C34" s="14" t="str">
        <f t="shared" si="0"/>
        <v/>
      </c>
      <c r="D34" s="87"/>
      <c r="E34" s="87">
        <v>5</v>
      </c>
      <c r="F34" s="23">
        <v>-744211</v>
      </c>
      <c r="G34" s="26">
        <f>D34+E34+F34-E33-F33</f>
        <v>-3308</v>
      </c>
      <c r="H34" s="132">
        <v>300</v>
      </c>
      <c r="I34" s="25">
        <v>10000</v>
      </c>
      <c r="J34" s="25">
        <v>-100</v>
      </c>
      <c r="K34" s="170">
        <f t="shared" si="8"/>
        <v>10200</v>
      </c>
      <c r="L34" s="171">
        <v>-23</v>
      </c>
      <c r="M34" s="153"/>
      <c r="N34" s="149">
        <f>L34+K34+G34+M34</f>
        <v>6869</v>
      </c>
      <c r="O34" s="67">
        <f t="shared" si="1"/>
        <v>3135536.6839285726</v>
      </c>
      <c r="P34" s="7">
        <f t="shared" si="4"/>
        <v>87795027.150000036</v>
      </c>
      <c r="Q34" s="164">
        <f>Q33+N34</f>
        <v>3470262.45</v>
      </c>
      <c r="R34" s="29">
        <f t="shared" si="2"/>
        <v>2302.233607689067</v>
      </c>
      <c r="S34" s="5">
        <f>SUM($Q$7:$Q34)/T34</f>
        <v>3394528.3428571443</v>
      </c>
      <c r="T34" s="18">
        <v>28</v>
      </c>
      <c r="U34" s="138">
        <f>B33+8</f>
        <v>44306</v>
      </c>
      <c r="V34" s="131"/>
      <c r="W34" s="105">
        <v>-2107305</v>
      </c>
      <c r="X34" s="167"/>
      <c r="Y34" s="156">
        <f>Y33-K34-L34</f>
        <v>-2107305</v>
      </c>
      <c r="Z34" s="217"/>
      <c r="AA34" s="92"/>
      <c r="AD34" s="1"/>
      <c r="AE34" s="1"/>
    </row>
    <row r="35" spans="2:31">
      <c r="B35" s="116">
        <v>44300</v>
      </c>
      <c r="C35" s="14" t="str">
        <f t="shared" si="0"/>
        <v/>
      </c>
      <c r="D35" s="87">
        <f>-190+137</f>
        <v>-53</v>
      </c>
      <c r="E35" s="87">
        <v>5</v>
      </c>
      <c r="F35" s="23">
        <v>-731071</v>
      </c>
      <c r="G35" s="26">
        <f>D35+E35+F35-E34-F34</f>
        <v>13087</v>
      </c>
      <c r="H35" s="132">
        <v>300</v>
      </c>
      <c r="I35" s="25">
        <v>-11800</v>
      </c>
      <c r="J35" s="25">
        <v>-100</v>
      </c>
      <c r="K35" s="170">
        <f t="shared" si="8"/>
        <v>-11600</v>
      </c>
      <c r="L35" s="171">
        <v>-39</v>
      </c>
      <c r="M35" s="153"/>
      <c r="N35" s="149">
        <f t="shared" si="6"/>
        <v>1448</v>
      </c>
      <c r="O35" s="67">
        <f t="shared" si="1"/>
        <v>3142044.5724137942</v>
      </c>
      <c r="P35" s="7">
        <f t="shared" si="4"/>
        <v>91119292.600000039</v>
      </c>
      <c r="Q35" s="164">
        <f>Q34+N35</f>
        <v>3471710.45</v>
      </c>
      <c r="R35" s="29">
        <f t="shared" si="2"/>
        <v>2304.0386549747959</v>
      </c>
      <c r="S35" s="5">
        <f>SUM($Q$7:$Q35)/T35</f>
        <v>3397189.7948275874</v>
      </c>
      <c r="T35" s="18">
        <v>29</v>
      </c>
      <c r="U35" s="4"/>
      <c r="V35" s="131"/>
      <c r="W35" s="105">
        <v>-2095667</v>
      </c>
      <c r="X35" s="167"/>
      <c r="Y35" s="156">
        <f>Y34-K35-L35-1</f>
        <v>-2095667</v>
      </c>
      <c r="Z35" s="217"/>
      <c r="AA35" s="92"/>
      <c r="AD35" s="1"/>
      <c r="AE35" s="1"/>
    </row>
    <row r="36" spans="2:31">
      <c r="B36" s="116">
        <v>44301</v>
      </c>
      <c r="C36" s="14" t="str">
        <f t="shared" si="0"/>
        <v/>
      </c>
      <c r="D36" s="87"/>
      <c r="E36" s="87">
        <v>0</v>
      </c>
      <c r="F36" s="23">
        <v>-709635</v>
      </c>
      <c r="G36" s="26">
        <f>D36+E36+F36-E35-F35</f>
        <v>21431</v>
      </c>
      <c r="H36" s="132">
        <v>300</v>
      </c>
      <c r="I36" s="25">
        <v>-16800</v>
      </c>
      <c r="J36" s="25">
        <v>-100</v>
      </c>
      <c r="K36" s="170">
        <f t="shared" si="8"/>
        <v>-16600</v>
      </c>
      <c r="L36" s="171">
        <v>37</v>
      </c>
      <c r="M36" s="153"/>
      <c r="N36" s="149">
        <f t="shared" si="6"/>
        <v>4868</v>
      </c>
      <c r="O36" s="67">
        <f t="shared" si="1"/>
        <v>3148280.7683333349</v>
      </c>
      <c r="P36" s="7">
        <f t="shared" si="4"/>
        <v>94448423.050000042</v>
      </c>
      <c r="Q36" s="164">
        <f>Q35+N36-3</f>
        <v>3476575.45</v>
      </c>
      <c r="R36" s="29">
        <f t="shared" si="2"/>
        <v>2305.8170730328834</v>
      </c>
      <c r="S36" s="5">
        <f>SUM($Q$7:$Q36)/T36-24</f>
        <v>3399811.9833333348</v>
      </c>
      <c r="T36" s="18">
        <v>30</v>
      </c>
      <c r="U36" s="4"/>
      <c r="V36" s="136"/>
      <c r="W36" s="105">
        <v>-2079101</v>
      </c>
      <c r="X36" s="167"/>
      <c r="Y36" s="156">
        <f>Y35-K36-L36+3</f>
        <v>-2079101</v>
      </c>
      <c r="Z36" s="217"/>
      <c r="AD36" s="1"/>
      <c r="AE36" s="1"/>
    </row>
    <row r="37" spans="2:31">
      <c r="B37" s="116">
        <v>44302</v>
      </c>
      <c r="C37" s="14" t="str">
        <f t="shared" si="0"/>
        <v/>
      </c>
      <c r="D37" s="87"/>
      <c r="E37" s="87">
        <v>0</v>
      </c>
      <c r="F37" s="23">
        <v>-703429</v>
      </c>
      <c r="G37" s="26">
        <f>D37+E37+F37-E36-F36</f>
        <v>6206</v>
      </c>
      <c r="H37" s="132">
        <v>2800</v>
      </c>
      <c r="I37" s="25">
        <v>-7100</v>
      </c>
      <c r="J37" s="25">
        <v>-100</v>
      </c>
      <c r="K37" s="170">
        <f t="shared" si="8"/>
        <v>-4400</v>
      </c>
      <c r="L37" s="171">
        <v>45</v>
      </c>
      <c r="M37" s="153"/>
      <c r="N37" s="149">
        <f t="shared" si="6"/>
        <v>1851</v>
      </c>
      <c r="O37" s="67">
        <f t="shared" si="1"/>
        <v>3154174.338709679</v>
      </c>
      <c r="P37" s="7">
        <f t="shared" si="4"/>
        <v>97779404.500000045</v>
      </c>
      <c r="Q37" s="164">
        <f>Q36+N37</f>
        <v>3478426.45</v>
      </c>
      <c r="R37" s="29">
        <f t="shared" si="2"/>
        <v>2307.5534332648926</v>
      </c>
      <c r="S37" s="5">
        <f>SUM($Q$7:$Q37)/T37+1</f>
        <v>3402372.1596774207</v>
      </c>
      <c r="T37" s="18">
        <v>31</v>
      </c>
      <c r="U37" s="27"/>
      <c r="V37" s="137"/>
      <c r="W37" s="105">
        <v>-2074743</v>
      </c>
      <c r="X37" s="167"/>
      <c r="Y37" s="156">
        <f>Y36-K37-L37+3</f>
        <v>-2074743</v>
      </c>
      <c r="Z37" s="217"/>
      <c r="AA37" s="92"/>
      <c r="AD37" s="1"/>
      <c r="AE37" s="1"/>
    </row>
    <row r="38" spans="2:31">
      <c r="B38" s="116">
        <v>44303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3159699.5609375015</v>
      </c>
      <c r="P38" s="7">
        <f t="shared" si="4"/>
        <v>101110385.95000005</v>
      </c>
      <c r="Q38" s="164">
        <f t="shared" si="10"/>
        <v>3478426.45</v>
      </c>
      <c r="R38" s="29">
        <f t="shared" si="2"/>
        <v>2309.1646970056645</v>
      </c>
      <c r="S38" s="5">
        <f>SUM($Q$7:$Q38)/T38</f>
        <v>3404747.8875000016</v>
      </c>
      <c r="T38" s="18">
        <v>32</v>
      </c>
      <c r="U38" s="27"/>
      <c r="V38" s="137"/>
      <c r="W38" s="105">
        <v>-2074743</v>
      </c>
      <c r="X38" s="167"/>
      <c r="Y38" s="156">
        <f t="shared" si="7"/>
        <v>-2074743</v>
      </c>
      <c r="Z38" s="217"/>
      <c r="AD38" s="1"/>
      <c r="AE38" s="1"/>
    </row>
    <row r="39" spans="2:31">
      <c r="B39" s="116">
        <v>44304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3164889.9212121228</v>
      </c>
      <c r="P39" s="7">
        <f t="shared" si="4"/>
        <v>104441367.40000005</v>
      </c>
      <c r="Q39" s="164">
        <f t="shared" si="10"/>
        <v>3478426.45</v>
      </c>
      <c r="R39" s="29">
        <f t="shared" si="2"/>
        <v>2310.6782672943286</v>
      </c>
      <c r="S39" s="5">
        <f>SUM($Q$7:$Q39)/T39-1</f>
        <v>3406979.5712121227</v>
      </c>
      <c r="T39" s="18">
        <v>33</v>
      </c>
      <c r="U39" s="27"/>
      <c r="V39" s="137"/>
      <c r="W39" s="105">
        <v>-2074743</v>
      </c>
      <c r="X39" s="167"/>
      <c r="Y39" s="156">
        <f t="shared" si="7"/>
        <v>-2074743</v>
      </c>
      <c r="Z39" s="217"/>
      <c r="AD39" s="1"/>
      <c r="AE39" s="1"/>
    </row>
    <row r="40" spans="2:31">
      <c r="B40" s="116">
        <v>44305</v>
      </c>
      <c r="C40" s="14" t="str">
        <f t="shared" si="0"/>
        <v/>
      </c>
      <c r="D40" s="87"/>
      <c r="E40" s="87">
        <v>0</v>
      </c>
      <c r="F40" s="23">
        <v>-709540</v>
      </c>
      <c r="G40" s="26">
        <f>D40+E40+F40-E37-F37</f>
        <v>-6111</v>
      </c>
      <c r="H40" s="132">
        <v>300</v>
      </c>
      <c r="I40" s="25">
        <v>10400</v>
      </c>
      <c r="J40" s="25">
        <v>-400</v>
      </c>
      <c r="K40" s="170">
        <f t="shared" si="8"/>
        <v>10300</v>
      </c>
      <c r="L40" s="171">
        <v>27</v>
      </c>
      <c r="M40" s="153"/>
      <c r="N40" s="149">
        <f t="shared" si="6"/>
        <v>4216</v>
      </c>
      <c r="O40" s="67">
        <f t="shared" si="1"/>
        <v>3169898.907352943</v>
      </c>
      <c r="P40" s="7">
        <f t="shared" si="4"/>
        <v>107776562.85000005</v>
      </c>
      <c r="Q40" s="164">
        <f>Q39+N40-2</f>
        <v>3482640.45</v>
      </c>
      <c r="R40" s="29">
        <f t="shared" si="2"/>
        <v>2312.1881798397421</v>
      </c>
      <c r="S40" s="5">
        <f>SUM($Q$7:$Q40)/T40</f>
        <v>3409205.8617647076</v>
      </c>
      <c r="T40" s="18">
        <v>34</v>
      </c>
      <c r="U40" s="138">
        <f>B40</f>
        <v>44305</v>
      </c>
      <c r="V40" s="131">
        <v>1911.5</v>
      </c>
      <c r="W40" s="105">
        <v>-2085069</v>
      </c>
      <c r="X40" s="167">
        <f>AVERAGE(W40:W48)</f>
        <v>-2079317</v>
      </c>
      <c r="Y40" s="156">
        <f>Y39-K40-L40+1</f>
        <v>-2085069</v>
      </c>
      <c r="Z40" s="217">
        <f>AVERAGE(Y40:Y48)</f>
        <v>-2079317</v>
      </c>
      <c r="AD40" s="1"/>
      <c r="AE40" s="1"/>
    </row>
    <row r="41" spans="2:31">
      <c r="B41" s="116">
        <v>44306</v>
      </c>
      <c r="C41" s="14" t="str">
        <f t="shared" si="0"/>
        <v/>
      </c>
      <c r="D41" s="87"/>
      <c r="E41" s="87">
        <v>0</v>
      </c>
      <c r="F41" s="23">
        <v>-710491</v>
      </c>
      <c r="G41" s="26">
        <f>D41+E41+F41-E40-F40</f>
        <v>-951</v>
      </c>
      <c r="H41" s="132">
        <v>-11700</v>
      </c>
      <c r="I41" s="25">
        <v>3000</v>
      </c>
      <c r="J41" s="25">
        <v>-400</v>
      </c>
      <c r="K41" s="170">
        <f t="shared" si="8"/>
        <v>-9100</v>
      </c>
      <c r="L41" s="171">
        <v>29</v>
      </c>
      <c r="M41" s="153"/>
      <c r="N41" s="149">
        <f t="shared" si="6"/>
        <v>-10022</v>
      </c>
      <c r="O41" s="67">
        <f t="shared" si="1"/>
        <v>3174335.294285716</v>
      </c>
      <c r="P41" s="7">
        <f t="shared" si="4"/>
        <v>111101735.30000006</v>
      </c>
      <c r="Q41" s="164">
        <f>Q40+N41-1</f>
        <v>3472617.45</v>
      </c>
      <c r="R41" s="29">
        <f t="shared" si="2"/>
        <v>2313.4196625376057</v>
      </c>
      <c r="S41" s="5">
        <f>SUM($Q$7:$Q41)/T41+4</f>
        <v>3411021.621428573</v>
      </c>
      <c r="T41" s="18">
        <v>35</v>
      </c>
      <c r="U41" s="138">
        <f>B40+8</f>
        <v>44313</v>
      </c>
      <c r="V41" s="137"/>
      <c r="W41" s="105">
        <v>-2075997</v>
      </c>
      <c r="X41" s="167"/>
      <c r="Y41" s="156">
        <f t="shared" ref="Y41:Y47" si="11">Y40-K41-L41+1</f>
        <v>-2075997</v>
      </c>
      <c r="Z41" s="217"/>
      <c r="AD41" s="1"/>
      <c r="AE41" s="1"/>
    </row>
    <row r="42" spans="2:31">
      <c r="B42" s="116">
        <v>44307</v>
      </c>
      <c r="C42" s="14" t="str">
        <f t="shared" si="0"/>
        <v/>
      </c>
      <c r="D42" s="87">
        <f>-137+126</f>
        <v>-11</v>
      </c>
      <c r="E42" s="87">
        <v>1</v>
      </c>
      <c r="F42" s="23">
        <v>-721352</v>
      </c>
      <c r="G42" s="26">
        <f t="shared" ref="G42:G48" si="12">D42+E42+F42-E41-F41</f>
        <v>-10871</v>
      </c>
      <c r="H42" s="132">
        <v>-8900</v>
      </c>
      <c r="I42" s="25">
        <v>3500</v>
      </c>
      <c r="J42" s="25">
        <v>-400</v>
      </c>
      <c r="K42" s="170">
        <f t="shared" si="8"/>
        <v>-5800</v>
      </c>
      <c r="L42" s="171">
        <v>-35</v>
      </c>
      <c r="M42" s="153"/>
      <c r="N42" s="149">
        <f t="shared" si="6"/>
        <v>-16706</v>
      </c>
      <c r="O42" s="67">
        <f t="shared" si="1"/>
        <v>3178061.1597222239</v>
      </c>
      <c r="P42" s="7">
        <f t="shared" si="4"/>
        <v>114410201.75000006</v>
      </c>
      <c r="Q42" s="164">
        <f t="shared" si="10"/>
        <v>3455911.45</v>
      </c>
      <c r="R42" s="29">
        <f t="shared" si="2"/>
        <v>2314.2654360759766</v>
      </c>
      <c r="S42" s="5">
        <f>SUM($Q$7:$Q42)/T42+4</f>
        <v>3412268.6722222241</v>
      </c>
      <c r="T42" s="18">
        <v>36</v>
      </c>
      <c r="U42" s="27"/>
      <c r="V42" s="137"/>
      <c r="W42" s="105">
        <v>-2070161</v>
      </c>
      <c r="X42" s="167"/>
      <c r="Y42" s="156">
        <f t="shared" si="11"/>
        <v>-2070161</v>
      </c>
      <c r="Z42" s="217"/>
      <c r="AD42" s="1"/>
      <c r="AE42" s="1"/>
    </row>
    <row r="43" spans="2:31">
      <c r="B43" s="116">
        <v>44308</v>
      </c>
      <c r="C43" s="14" t="str">
        <f t="shared" si="0"/>
        <v/>
      </c>
      <c r="D43" s="87"/>
      <c r="E43" s="87">
        <v>0</v>
      </c>
      <c r="F43" s="23">
        <v>-664141</v>
      </c>
      <c r="G43" s="26">
        <f t="shared" si="12"/>
        <v>57210</v>
      </c>
      <c r="H43" s="132">
        <v>-200</v>
      </c>
      <c r="I43" s="25">
        <v>-600</v>
      </c>
      <c r="J43" s="25">
        <v>-500</v>
      </c>
      <c r="K43" s="170">
        <f t="shared" si="8"/>
        <v>-1300</v>
      </c>
      <c r="L43" s="171">
        <v>41</v>
      </c>
      <c r="M43" s="153"/>
      <c r="N43" s="149">
        <f t="shared" si="6"/>
        <v>55951</v>
      </c>
      <c r="O43" s="67">
        <f t="shared" si="1"/>
        <v>3183097.7351351366</v>
      </c>
      <c r="P43" s="7">
        <f t="shared" si="4"/>
        <v>117774616.20000006</v>
      </c>
      <c r="Q43" s="164">
        <f>Q42+N43-3</f>
        <v>3511859.45</v>
      </c>
      <c r="R43" s="29">
        <f t="shared" si="2"/>
        <v>2316.0910325700938</v>
      </c>
      <c r="S43" s="5">
        <f>SUM($Q$7:$Q43)/T43+4</f>
        <v>3414960.4229729748</v>
      </c>
      <c r="T43" s="18">
        <v>37</v>
      </c>
      <c r="U43" s="27"/>
      <c r="V43" s="137"/>
      <c r="W43" s="105">
        <v>-2068901</v>
      </c>
      <c r="X43" s="167"/>
      <c r="Y43" s="156">
        <f>Y42-K43-L43</f>
        <v>-2068902</v>
      </c>
      <c r="Z43" s="217"/>
      <c r="AD43" s="1"/>
      <c r="AE43" s="1"/>
    </row>
    <row r="44" spans="2:31">
      <c r="B44" s="116">
        <v>44309</v>
      </c>
      <c r="C44" s="14" t="str">
        <f t="shared" si="0"/>
        <v/>
      </c>
      <c r="D44" s="87"/>
      <c r="E44" s="87">
        <v>0</v>
      </c>
      <c r="F44" s="23">
        <v>-716303</v>
      </c>
      <c r="G44" s="26">
        <f t="shared" si="12"/>
        <v>-52162</v>
      </c>
      <c r="H44" s="132">
        <v>800</v>
      </c>
      <c r="I44" s="25">
        <v>5600</v>
      </c>
      <c r="J44" s="25">
        <v>-500</v>
      </c>
      <c r="K44" s="170">
        <f t="shared" si="8"/>
        <v>5900</v>
      </c>
      <c r="L44" s="171">
        <v>4</v>
      </c>
      <c r="M44" s="153"/>
      <c r="N44" s="149">
        <f t="shared" si="6"/>
        <v>-46258</v>
      </c>
      <c r="O44" s="67">
        <f t="shared" si="1"/>
        <v>3186651.9118421068</v>
      </c>
      <c r="P44" s="7">
        <f t="shared" si="4"/>
        <v>121092772.65000007</v>
      </c>
      <c r="Q44" s="164">
        <f>Q43+N44</f>
        <v>3465601.45</v>
      </c>
      <c r="R44" s="29">
        <f t="shared" si="2"/>
        <v>2316.9949383445401</v>
      </c>
      <c r="S44" s="5">
        <f>SUM($Q$7:$Q44)/T44+4</f>
        <v>3416293.1868421072</v>
      </c>
      <c r="T44" s="18">
        <v>38</v>
      </c>
      <c r="U44" s="27"/>
      <c r="V44" s="137"/>
      <c r="W44" s="105">
        <v>-2074802</v>
      </c>
      <c r="X44" s="167"/>
      <c r="Y44" s="156">
        <f>Y43-K44-L44+4</f>
        <v>-2074802</v>
      </c>
      <c r="Z44" s="217"/>
      <c r="AD44" s="1"/>
      <c r="AE44" s="1"/>
    </row>
    <row r="45" spans="2:31">
      <c r="B45" s="116">
        <v>44310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1"/>
        <v>3190023.8230769248</v>
      </c>
      <c r="P45" s="7">
        <f t="shared" si="4"/>
        <v>124410929.10000007</v>
      </c>
      <c r="Q45" s="164">
        <f t="shared" si="10"/>
        <v>3465601.45</v>
      </c>
      <c r="R45" s="29">
        <f t="shared" si="2"/>
        <v>2317.8524899767071</v>
      </c>
      <c r="S45" s="5">
        <f>SUM($Q$7:$Q45)/T45+4</f>
        <v>3417557.6038461556</v>
      </c>
      <c r="T45" s="18">
        <v>39</v>
      </c>
      <c r="U45" s="27"/>
      <c r="V45" s="137"/>
      <c r="W45" s="105">
        <v>-2074802</v>
      </c>
      <c r="X45" s="167"/>
      <c r="Y45" s="156">
        <f>Y44-K45-L45</f>
        <v>-2074802</v>
      </c>
      <c r="Z45" s="217"/>
      <c r="AD45" s="1"/>
      <c r="AE45" s="1"/>
    </row>
    <row r="46" spans="2:31">
      <c r="B46" s="116">
        <v>44311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1"/>
        <v>3193227.1387500018</v>
      </c>
      <c r="P46" s="7">
        <f t="shared" si="4"/>
        <v>127729085.55000007</v>
      </c>
      <c r="Q46" s="164">
        <f t="shared" si="10"/>
        <v>3465601.45</v>
      </c>
      <c r="R46" s="29">
        <f t="shared" si="2"/>
        <v>2318.6644511512777</v>
      </c>
      <c r="S46" s="5">
        <f>SUM($Q$7:$Q46)/T46</f>
        <v>3418754.8000000017</v>
      </c>
      <c r="T46" s="18">
        <v>40</v>
      </c>
      <c r="U46" s="27"/>
      <c r="V46" s="137"/>
      <c r="W46" s="105">
        <v>-2074802</v>
      </c>
      <c r="X46" s="167"/>
      <c r="Y46" s="156">
        <f>Y45-K46-L46</f>
        <v>-2074802</v>
      </c>
      <c r="Z46" s="217"/>
      <c r="AD46" s="1"/>
      <c r="AE46" s="1"/>
    </row>
    <row r="47" spans="2:31">
      <c r="B47" s="116">
        <v>44312</v>
      </c>
      <c r="C47" s="14" t="str">
        <f t="shared" si="0"/>
        <v/>
      </c>
      <c r="D47" s="87"/>
      <c r="E47" s="87">
        <v>0</v>
      </c>
      <c r="F47" s="23">
        <v>-733957</v>
      </c>
      <c r="G47" s="26">
        <f>D47+E47+F47-E44-F44</f>
        <v>-17654</v>
      </c>
      <c r="H47" s="132">
        <v>300</v>
      </c>
      <c r="I47" s="25">
        <v>20000</v>
      </c>
      <c r="J47" s="25">
        <v>-600</v>
      </c>
      <c r="K47" s="170">
        <f t="shared" si="8"/>
        <v>19700</v>
      </c>
      <c r="L47" s="171">
        <v>17</v>
      </c>
      <c r="M47" s="153"/>
      <c r="N47" s="149">
        <f t="shared" si="6"/>
        <v>2063</v>
      </c>
      <c r="O47" s="67">
        <f t="shared" si="1"/>
        <v>3196324.463414636</v>
      </c>
      <c r="P47" s="7">
        <f t="shared" si="4"/>
        <v>131049303.00000007</v>
      </c>
      <c r="Q47" s="164">
        <f>Q46+N47-2</f>
        <v>3467662.45</v>
      </c>
      <c r="R47" s="29">
        <f t="shared" si="2"/>
        <v>2319.4734779152882</v>
      </c>
      <c r="S47" s="5">
        <f>SUM($Q$7:$Q47)/T47</f>
        <v>3419947.6695121964</v>
      </c>
      <c r="T47" s="18">
        <v>41</v>
      </c>
      <c r="U47" s="138"/>
      <c r="V47" s="137"/>
      <c r="W47" s="105">
        <v>-2094519</v>
      </c>
      <c r="X47" s="167"/>
      <c r="Y47" s="156">
        <f t="shared" si="11"/>
        <v>-2094518</v>
      </c>
      <c r="Z47" s="217">
        <f>AVERAGE(Y47:Y48)</f>
        <v>-2094659</v>
      </c>
      <c r="AD47" s="1"/>
      <c r="AE47" s="1"/>
    </row>
    <row r="48" spans="2:31">
      <c r="B48" s="116">
        <v>44313</v>
      </c>
      <c r="C48" s="14" t="str">
        <f t="shared" si="0"/>
        <v/>
      </c>
      <c r="D48" s="87"/>
      <c r="E48" s="87">
        <v>0</v>
      </c>
      <c r="F48" s="23">
        <v>-734449</v>
      </c>
      <c r="G48" s="26">
        <f t="shared" si="12"/>
        <v>-492</v>
      </c>
      <c r="H48" s="132">
        <v>300</v>
      </c>
      <c r="I48" s="25">
        <v>600</v>
      </c>
      <c r="J48" s="25">
        <v>-600</v>
      </c>
      <c r="K48" s="170">
        <f t="shared" si="8"/>
        <v>300</v>
      </c>
      <c r="L48" s="171">
        <v>-19</v>
      </c>
      <c r="M48" s="153"/>
      <c r="N48" s="149">
        <f t="shared" si="6"/>
        <v>-211</v>
      </c>
      <c r="O48" s="67">
        <f t="shared" si="1"/>
        <v>3199269.2964285733</v>
      </c>
      <c r="P48" s="7">
        <f t="shared" si="4"/>
        <v>134369310.45000008</v>
      </c>
      <c r="Q48" s="164">
        <f>Q47+N48+1</f>
        <v>3467452.45</v>
      </c>
      <c r="R48" s="29">
        <f t="shared" si="2"/>
        <v>2320.2283805583688</v>
      </c>
      <c r="S48" s="5">
        <f>SUM($Q$7:$Q48)/T48-18</f>
        <v>3421060.7357142866</v>
      </c>
      <c r="T48" s="18">
        <v>42</v>
      </c>
      <c r="U48" s="138"/>
      <c r="V48" s="137"/>
      <c r="W48" s="105">
        <v>-2094800</v>
      </c>
      <c r="X48" s="167"/>
      <c r="Y48" s="156">
        <f>Y47-K48-L48-1</f>
        <v>-2094800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'Feb 2021'!Q55</f>
        <v>3122226.45</v>
      </c>
    </row>
    <row r="53" spans="4:7">
      <c r="D53" s="138" t="s">
        <v>4</v>
      </c>
      <c r="E53" s="139"/>
      <c r="F53" s="143"/>
      <c r="G53" s="91">
        <f>'Feb 2021'!E55</f>
        <v>0</v>
      </c>
    </row>
    <row r="54" spans="4:7">
      <c r="D54" s="138" t="s">
        <v>60</v>
      </c>
      <c r="E54" s="144"/>
      <c r="F54" s="143"/>
      <c r="G54" s="91">
        <f>'Feb 2021'!F55</f>
        <v>-681585</v>
      </c>
    </row>
    <row r="55" spans="4:7" ht="12.75" thickBot="1">
      <c r="D55" s="140" t="s">
        <v>46</v>
      </c>
      <c r="E55" s="145"/>
      <c r="F55" s="146"/>
      <c r="G55" s="158">
        <f>'Feb 2021'!Y55</f>
        <v>-2010949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F5D2-8B2D-4E45-B56E-29252202D3D5}">
  <sheetPr codeName="Sheet24">
    <pageSetUpPr fitToPage="1"/>
  </sheetPr>
  <dimension ref="B1:IU65513"/>
  <sheetViews>
    <sheetView zoomScaleNormal="100" workbookViewId="0">
      <pane xSplit="2" ySplit="6" topLeftCell="Q44" activePane="bottomRight" state="frozen"/>
      <selection pane="topRight" activeCell="C1" sqref="C1"/>
      <selection pane="bottomLeft" activeCell="A7" sqref="A7"/>
      <selection pane="bottomRight" activeCell="R60" sqref="R60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147741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44314</v>
      </c>
      <c r="C7" s="196" t="str">
        <f t="shared" ref="C7:C46" si="0">IF(OR(WEEKDAY(B7)=1,WEEKDAY(B7)=7),"F","")</f>
        <v/>
      </c>
      <c r="D7" s="197">
        <f>-126+252</f>
        <v>126</v>
      </c>
      <c r="E7" s="197">
        <v>0</v>
      </c>
      <c r="F7" s="198">
        <v>-582549</v>
      </c>
      <c r="G7" s="199">
        <f>D7+E7+F7-G60-G61</f>
        <v>152026</v>
      </c>
      <c r="H7" s="132">
        <v>300</v>
      </c>
      <c r="I7" s="63">
        <v>4700</v>
      </c>
      <c r="J7" s="63">
        <v>-600</v>
      </c>
      <c r="K7" s="168">
        <f>+H7+I7+J7</f>
        <v>4400</v>
      </c>
      <c r="L7" s="169">
        <v>-20</v>
      </c>
      <c r="M7" s="203"/>
      <c r="N7" s="204">
        <f>L7+K7+G7+M7</f>
        <v>156406</v>
      </c>
      <c r="O7" s="205">
        <f t="shared" ref="O7:O47" si="1">P7/T7</f>
        <v>3476302.45</v>
      </c>
      <c r="P7" s="206">
        <f>(+$Q7-$Q$3)</f>
        <v>3476302.45</v>
      </c>
      <c r="Q7" s="207">
        <f>G59+N7+185</f>
        <v>3624043.45</v>
      </c>
      <c r="R7" s="208">
        <f t="shared" ref="R7:R55" si="2">$S7/$Q$3*100</f>
        <v>2452.970705491367</v>
      </c>
      <c r="S7" s="209">
        <f>$Q7</f>
        <v>3624043.45</v>
      </c>
      <c r="T7" s="210">
        <v>1</v>
      </c>
      <c r="U7" s="211">
        <f>B7</f>
        <v>44314</v>
      </c>
      <c r="V7" s="212">
        <v>1875</v>
      </c>
      <c r="W7" s="213">
        <v>-2099365</v>
      </c>
      <c r="X7" s="214">
        <f>AVERAGE(W7:W11)</f>
        <v>-2113864.7999999998</v>
      </c>
      <c r="Y7" s="215">
        <f>G62-K7-165</f>
        <v>-2099365</v>
      </c>
      <c r="Z7" s="216">
        <f>AVERAGE(Y7:Y13)</f>
        <v>-2131021.4285714286</v>
      </c>
      <c r="AA7" s="92"/>
    </row>
    <row r="8" spans="2:255">
      <c r="B8" s="116">
        <v>44315</v>
      </c>
      <c r="C8" s="14"/>
      <c r="D8" s="128">
        <f>-6+25</f>
        <v>19</v>
      </c>
      <c r="E8" s="128">
        <v>0</v>
      </c>
      <c r="F8" s="162">
        <v>-523552</v>
      </c>
      <c r="G8" s="26">
        <f>D8+E8+F8-E7-F7</f>
        <v>59016</v>
      </c>
      <c r="H8" s="132">
        <v>300</v>
      </c>
      <c r="I8" s="63">
        <v>-13900</v>
      </c>
      <c r="J8" s="63">
        <v>-600</v>
      </c>
      <c r="K8" s="170">
        <f t="shared" ref="K8:K55" si="3">+H8+I8+J8</f>
        <v>-14200</v>
      </c>
      <c r="L8" s="171">
        <v>46</v>
      </c>
      <c r="M8" s="153"/>
      <c r="N8" s="149">
        <f>L8+K8+G8+M8</f>
        <v>44862</v>
      </c>
      <c r="O8" s="67">
        <f t="shared" si="1"/>
        <v>1760585.2250000001</v>
      </c>
      <c r="P8" s="163">
        <f>(IF($Q8&lt;0,-$Q$3+P6,($Q8-$Q$3)+P6))</f>
        <v>3521170.45</v>
      </c>
      <c r="Q8" s="164">
        <f>Q7+N8+6</f>
        <v>3668911.45</v>
      </c>
      <c r="R8" s="29">
        <f t="shared" si="2"/>
        <v>2468.1553867917505</v>
      </c>
      <c r="S8" s="165">
        <f>SUM($Q$7:$Q8)/T8</f>
        <v>3646477.45</v>
      </c>
      <c r="T8" s="166">
        <v>2</v>
      </c>
      <c r="U8" s="138">
        <f>B7+6</f>
        <v>44320</v>
      </c>
      <c r="V8" s="131"/>
      <c r="W8" s="105">
        <v>-2085212</v>
      </c>
      <c r="X8" s="167"/>
      <c r="Y8" s="156">
        <f>Y7-K8-L8-1</f>
        <v>-2085212</v>
      </c>
      <c r="Z8" s="217"/>
      <c r="AA8" s="92"/>
    </row>
    <row r="9" spans="2:255">
      <c r="B9" s="116">
        <v>44316</v>
      </c>
      <c r="C9" s="14" t="str">
        <f t="shared" si="0"/>
        <v/>
      </c>
      <c r="D9" s="87"/>
      <c r="E9" s="87">
        <v>0</v>
      </c>
      <c r="F9" s="23">
        <v>-601752</v>
      </c>
      <c r="G9" s="26">
        <f>D9+E9+F9-E8-F8</f>
        <v>-78200</v>
      </c>
      <c r="H9" s="132">
        <v>300</v>
      </c>
      <c r="I9" s="63">
        <v>43300</v>
      </c>
      <c r="J9" s="63">
        <v>-600</v>
      </c>
      <c r="K9" s="170">
        <f t="shared" si="3"/>
        <v>43000</v>
      </c>
      <c r="L9" s="171">
        <v>36</v>
      </c>
      <c r="M9" s="153"/>
      <c r="N9" s="149">
        <f>L9+K9+G9+M9</f>
        <v>-35164</v>
      </c>
      <c r="O9" s="67">
        <f t="shared" si="1"/>
        <v>2320767.9666666668</v>
      </c>
      <c r="P9" s="7">
        <f>(IF($Q9&lt;0,-$Q$3+P7,($Q9-$Q$3)+P7))</f>
        <v>6962303.9000000004</v>
      </c>
      <c r="Q9" s="164">
        <f>Q8+N9-5</f>
        <v>3633742.45</v>
      </c>
      <c r="R9" s="29">
        <f t="shared" si="2"/>
        <v>2465.2827921836192</v>
      </c>
      <c r="S9" s="5">
        <f>SUM($Q$7:$Q9)/T9+1</f>
        <v>3642233.4500000007</v>
      </c>
      <c r="T9" s="17">
        <v>3</v>
      </c>
      <c r="U9" s="4"/>
      <c r="V9" s="131"/>
      <c r="W9" s="105">
        <v>-2128249</v>
      </c>
      <c r="X9" s="167"/>
      <c r="Y9" s="156">
        <f>Y8-K9-L9-1</f>
        <v>-2128249</v>
      </c>
      <c r="Z9" s="217"/>
      <c r="AA9" s="92"/>
    </row>
    <row r="10" spans="2:255">
      <c r="B10" s="116">
        <v>44317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2612076.3375000004</v>
      </c>
      <c r="P10" s="7">
        <f t="shared" ref="P10:P55" si="4">(IF($Q10&lt;0,-$Q$3+P9,($Q10-$Q$3)+P9))</f>
        <v>10448305.350000001</v>
      </c>
      <c r="Q10" s="164">
        <f t="shared" ref="Q10:Q18" si="5">Q9+N10</f>
        <v>3633742.45</v>
      </c>
      <c r="R10" s="29">
        <f t="shared" si="2"/>
        <v>2463.8448027291006</v>
      </c>
      <c r="S10" s="5">
        <f>SUM($Q$7:$Q10)/T10-1</f>
        <v>3640108.95</v>
      </c>
      <c r="T10" s="17">
        <v>4</v>
      </c>
      <c r="U10" s="27"/>
      <c r="V10" s="133"/>
      <c r="W10" s="105">
        <v>-2128249</v>
      </c>
      <c r="X10" s="167"/>
      <c r="Y10" s="156">
        <f>Y9-K10-L10</f>
        <v>-2128249</v>
      </c>
      <c r="Z10" s="217"/>
      <c r="AA10" s="92"/>
    </row>
    <row r="11" spans="2:255">
      <c r="B11" s="116">
        <v>44318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2786861.3600000003</v>
      </c>
      <c r="P11" s="7">
        <f t="shared" si="4"/>
        <v>13934306.800000001</v>
      </c>
      <c r="Q11" s="164">
        <f t="shared" si="5"/>
        <v>3633742.45</v>
      </c>
      <c r="R11" s="29">
        <f t="shared" si="2"/>
        <v>2462.9828212886064</v>
      </c>
      <c r="S11" s="5">
        <f>SUM($Q$7:$Q11)/T11-1</f>
        <v>3638835.45</v>
      </c>
      <c r="T11" s="17">
        <v>5</v>
      </c>
      <c r="U11" s="27"/>
      <c r="V11" s="134"/>
      <c r="W11" s="105">
        <v>-2128249</v>
      </c>
      <c r="X11" s="167"/>
      <c r="Y11" s="156">
        <f t="shared" ref="Y11:Y39" si="6">Y10-K11-L11</f>
        <v>-2128249</v>
      </c>
      <c r="Z11" s="217"/>
      <c r="AA11" s="92"/>
    </row>
    <row r="12" spans="2:255">
      <c r="B12" s="116">
        <v>44319</v>
      </c>
      <c r="C12" s="14" t="str">
        <f t="shared" si="0"/>
        <v/>
      </c>
      <c r="D12" s="87"/>
      <c r="E12" s="161">
        <v>0</v>
      </c>
      <c r="F12" s="23">
        <v>-574360</v>
      </c>
      <c r="G12" s="26">
        <f>D12+E12+F12-E9-F9</f>
        <v>27392</v>
      </c>
      <c r="H12" s="132">
        <v>8300</v>
      </c>
      <c r="I12" s="63">
        <v>33200</v>
      </c>
      <c r="J12" s="63">
        <v>200</v>
      </c>
      <c r="K12" s="170">
        <f t="shared" si="3"/>
        <v>41700</v>
      </c>
      <c r="L12" s="171">
        <v>31</v>
      </c>
      <c r="M12" s="153"/>
      <c r="N12" s="149">
        <f t="shared" ref="N12:N47" si="7">L12+K12+G12+M12</f>
        <v>69123</v>
      </c>
      <c r="O12" s="67">
        <f t="shared" si="1"/>
        <v>2914905.0416666665</v>
      </c>
      <c r="P12" s="7">
        <f t="shared" si="4"/>
        <v>17489430.25</v>
      </c>
      <c r="Q12" s="164">
        <f>Q11+N12-1</f>
        <v>3702864.45</v>
      </c>
      <c r="R12" s="29">
        <f t="shared" si="2"/>
        <v>2470.2112367814843</v>
      </c>
      <c r="S12" s="5">
        <f>SUM($Q$7:$Q12)/T12+7</f>
        <v>3649514.7833333332</v>
      </c>
      <c r="T12" s="17">
        <v>6</v>
      </c>
      <c r="U12" s="138">
        <f>B13</f>
        <v>44320</v>
      </c>
      <c r="V12" s="131">
        <v>1842.6</v>
      </c>
      <c r="W12" s="105">
        <v>-2169979</v>
      </c>
      <c r="X12" s="167">
        <f>AVERAGE(W12:W20)</f>
        <v>-2197382.4444444445</v>
      </c>
      <c r="Y12" s="156">
        <f>Y11-K12-L12+1</f>
        <v>-2169979</v>
      </c>
      <c r="Z12" s="217">
        <f>AVERAGE(Y12:Y20)</f>
        <v>-2197382.4444444445</v>
      </c>
      <c r="AA12" s="92"/>
    </row>
    <row r="13" spans="2:255">
      <c r="B13" s="116">
        <v>44320</v>
      </c>
      <c r="C13" s="14"/>
      <c r="D13" s="87"/>
      <c r="E13" s="87">
        <v>0</v>
      </c>
      <c r="F13" s="23">
        <v>-575224</v>
      </c>
      <c r="G13" s="26">
        <f>D13+E13+F13-E12-F12</f>
        <v>-864</v>
      </c>
      <c r="H13" s="132">
        <v>-6900</v>
      </c>
      <c r="I13" s="63">
        <v>14600</v>
      </c>
      <c r="J13" s="63">
        <v>200</v>
      </c>
      <c r="K13" s="170">
        <f t="shared" si="3"/>
        <v>7900</v>
      </c>
      <c r="L13" s="171">
        <v>-33</v>
      </c>
      <c r="M13" s="153"/>
      <c r="N13" s="149">
        <f t="shared" si="7"/>
        <v>7003</v>
      </c>
      <c r="O13" s="67">
        <f t="shared" si="1"/>
        <v>3007365.3857142855</v>
      </c>
      <c r="P13" s="7">
        <f>(IF($Q13&lt;0,-$Q$3+P12,($Q13-$Q$3)+P12))</f>
        <v>21051557.699999999</v>
      </c>
      <c r="Q13" s="164">
        <f>Q12+N13+1</f>
        <v>3709868.45</v>
      </c>
      <c r="R13" s="29">
        <f t="shared" si="2"/>
        <v>2476.0470930305642</v>
      </c>
      <c r="S13" s="5">
        <f>SUM($Q$7:$Q13)/T13+6</f>
        <v>3658136.7357142856</v>
      </c>
      <c r="T13" s="17">
        <v>7</v>
      </c>
      <c r="U13" s="138">
        <f>B14+6</f>
        <v>44327</v>
      </c>
      <c r="V13" s="249"/>
      <c r="W13" s="105">
        <v>-2177847</v>
      </c>
      <c r="X13" s="167"/>
      <c r="Y13" s="156">
        <f>Y12-K13-L13-1</f>
        <v>-2177847</v>
      </c>
      <c r="Z13" s="217"/>
      <c r="AA13" s="92"/>
      <c r="AB13" s="92"/>
    </row>
    <row r="14" spans="2:255">
      <c r="B14" s="116">
        <v>44321</v>
      </c>
      <c r="C14" s="14"/>
      <c r="D14" s="87">
        <f>-252+72</f>
        <v>-180</v>
      </c>
      <c r="E14" s="87">
        <v>0</v>
      </c>
      <c r="F14" s="23">
        <v>-574252</v>
      </c>
      <c r="G14" s="26">
        <f>D14+E14+F14-E13-F13</f>
        <v>792</v>
      </c>
      <c r="H14" s="132">
        <v>-5700</v>
      </c>
      <c r="I14" s="63">
        <v>13800</v>
      </c>
      <c r="J14" s="63">
        <v>200</v>
      </c>
      <c r="K14" s="170">
        <f t="shared" si="3"/>
        <v>8300</v>
      </c>
      <c r="L14" s="171">
        <v>44</v>
      </c>
      <c r="M14" s="154"/>
      <c r="N14" s="149">
        <f>L14+K14+G14+M14</f>
        <v>9136</v>
      </c>
      <c r="O14" s="67">
        <f t="shared" si="1"/>
        <v>3077852.5187499998</v>
      </c>
      <c r="P14" s="7">
        <f t="shared" si="4"/>
        <v>24622820.149999999</v>
      </c>
      <c r="Q14" s="164">
        <f>Q13+N14-1</f>
        <v>3719003.45</v>
      </c>
      <c r="R14" s="29">
        <f t="shared" si="2"/>
        <v>2481.1926445604131</v>
      </c>
      <c r="S14" s="5">
        <f>SUM($Q$7:$Q14)/T14-1</f>
        <v>3665738.8249999997</v>
      </c>
      <c r="T14" s="17">
        <v>8</v>
      </c>
      <c r="U14" s="4"/>
      <c r="V14" s="4"/>
      <c r="W14" s="105">
        <v>-2186189</v>
      </c>
      <c r="X14" s="167"/>
      <c r="Y14" s="156">
        <f>Y13-K14-L14+2</f>
        <v>-2186189</v>
      </c>
      <c r="Z14" s="217"/>
      <c r="AA14" s="92"/>
    </row>
    <row r="15" spans="2:255">
      <c r="B15" s="116">
        <v>44322</v>
      </c>
      <c r="C15" s="14" t="str">
        <f t="shared" si="0"/>
        <v/>
      </c>
      <c r="D15" s="87"/>
      <c r="E15" s="87">
        <v>0</v>
      </c>
      <c r="F15" s="23">
        <v>-579654</v>
      </c>
      <c r="G15" s="26">
        <f>D15+E15+F15-E14-F14</f>
        <v>-5402</v>
      </c>
      <c r="H15" s="132">
        <v>-200</v>
      </c>
      <c r="I15" s="63">
        <v>-2500</v>
      </c>
      <c r="J15" s="63">
        <v>200</v>
      </c>
      <c r="K15" s="170">
        <f t="shared" si="3"/>
        <v>-2500</v>
      </c>
      <c r="L15" s="172">
        <v>-42</v>
      </c>
      <c r="M15" s="153"/>
      <c r="N15" s="149">
        <f>L15+K15+G15+M15</f>
        <v>-7944</v>
      </c>
      <c r="O15" s="67">
        <f t="shared" si="1"/>
        <v>3131793.1777777774</v>
      </c>
      <c r="P15" s="7">
        <f t="shared" si="4"/>
        <v>28186138.599999998</v>
      </c>
      <c r="Q15" s="164">
        <f>Q14+N15</f>
        <v>3711059.45</v>
      </c>
      <c r="R15" s="29">
        <f t="shared" si="2"/>
        <v>2484.605044563722</v>
      </c>
      <c r="S15" s="5">
        <f>SUM($Q$7:$Q15)/T15+5</f>
        <v>3670780.3388888887</v>
      </c>
      <c r="T15" s="17">
        <v>9</v>
      </c>
      <c r="U15" s="4"/>
      <c r="V15" s="4"/>
      <c r="W15" s="105">
        <v>-2183732</v>
      </c>
      <c r="X15" s="167"/>
      <c r="Y15" s="156">
        <f>Y14-K15-L15-84-1</f>
        <v>-2183732</v>
      </c>
      <c r="Z15" s="217"/>
      <c r="AA15" s="92"/>
      <c r="AB15" s="92"/>
    </row>
    <row r="16" spans="2:255" s="69" customFormat="1">
      <c r="B16" s="116">
        <v>44323</v>
      </c>
      <c r="C16" s="14"/>
      <c r="D16" s="129"/>
      <c r="E16" s="87">
        <v>1</v>
      </c>
      <c r="F16" s="23">
        <v>-665160</v>
      </c>
      <c r="G16" s="26">
        <f>D16+E16+F16-E15-F15</f>
        <v>-85505</v>
      </c>
      <c r="H16" s="132">
        <v>-1700</v>
      </c>
      <c r="I16" s="63">
        <v>30400</v>
      </c>
      <c r="J16" s="63">
        <v>200</v>
      </c>
      <c r="K16" s="170">
        <f t="shared" si="3"/>
        <v>28900</v>
      </c>
      <c r="L16" s="172">
        <v>-38</v>
      </c>
      <c r="M16" s="153"/>
      <c r="N16" s="152">
        <f>L16+K16+G16+M16</f>
        <v>-56643</v>
      </c>
      <c r="O16" s="67">
        <f t="shared" si="1"/>
        <v>3169289.8049999997</v>
      </c>
      <c r="P16" s="70">
        <f t="shared" si="4"/>
        <v>31692898.049999997</v>
      </c>
      <c r="Q16" s="164">
        <f>Q15+N16+84</f>
        <v>3654500.45</v>
      </c>
      <c r="R16" s="71">
        <f t="shared" si="2"/>
        <v>2483.5000778389208</v>
      </c>
      <c r="S16" s="72">
        <f>SUM($Q$7:$Q16)/T16</f>
        <v>3669147.85</v>
      </c>
      <c r="T16" s="73">
        <v>10</v>
      </c>
      <c r="U16" s="218"/>
      <c r="V16" s="133"/>
      <c r="W16" s="105">
        <v>-2212594</v>
      </c>
      <c r="X16" s="167"/>
      <c r="Y16" s="156">
        <f>Y15-K16-L16</f>
        <v>-2212594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44324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3199968.8636363638</v>
      </c>
      <c r="P17" s="7">
        <f t="shared" si="4"/>
        <v>35199657.5</v>
      </c>
      <c r="Q17" s="164">
        <f t="shared" si="5"/>
        <v>3654500.45</v>
      </c>
      <c r="R17" s="29">
        <f t="shared" si="2"/>
        <v>2482.5987831284601</v>
      </c>
      <c r="S17" s="5">
        <f>SUM($Q$7:$Q17)/T17</f>
        <v>3667816.2681818185</v>
      </c>
      <c r="T17" s="18">
        <v>11</v>
      </c>
      <c r="U17" s="27"/>
      <c r="V17" s="136"/>
      <c r="W17" s="105">
        <v>-2212594</v>
      </c>
      <c r="X17" s="167"/>
      <c r="Y17" s="156">
        <f t="shared" si="6"/>
        <v>-2212594</v>
      </c>
      <c r="Z17" s="217"/>
      <c r="AA17" s="92"/>
      <c r="AC17" s="92"/>
    </row>
    <row r="18" spans="2:31">
      <c r="B18" s="116">
        <v>44325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3225534.7458333336</v>
      </c>
      <c r="P18" s="7">
        <f t="shared" si="4"/>
        <v>38706416.950000003</v>
      </c>
      <c r="Q18" s="164">
        <f t="shared" si="5"/>
        <v>3654500.45</v>
      </c>
      <c r="R18" s="29">
        <f t="shared" si="2"/>
        <v>2481.8470273428952</v>
      </c>
      <c r="S18" s="5">
        <f>SUM($Q$7:$Q18)/T18-1</f>
        <v>3666705.6166666672</v>
      </c>
      <c r="T18" s="18">
        <v>12</v>
      </c>
      <c r="U18" s="27"/>
      <c r="V18" s="136"/>
      <c r="W18" s="105">
        <v>-2212594</v>
      </c>
      <c r="X18" s="167"/>
      <c r="Y18" s="156">
        <f t="shared" si="6"/>
        <v>-2212594</v>
      </c>
      <c r="Z18" s="217"/>
      <c r="AA18" s="92"/>
    </row>
    <row r="19" spans="2:31">
      <c r="B19" s="116">
        <v>44326</v>
      </c>
      <c r="C19" s="14" t="str">
        <f t="shared" si="0"/>
        <v/>
      </c>
      <c r="D19" s="87"/>
      <c r="E19" s="87">
        <v>0</v>
      </c>
      <c r="F19" s="23">
        <v>-749585</v>
      </c>
      <c r="G19" s="26">
        <f>D19+E19+F19-E16-F16</f>
        <v>-84426</v>
      </c>
      <c r="H19" s="132">
        <v>300</v>
      </c>
      <c r="I19" s="63">
        <v>-2800</v>
      </c>
      <c r="J19" s="63">
        <v>-700</v>
      </c>
      <c r="K19" s="170">
        <f t="shared" si="3"/>
        <v>-3200</v>
      </c>
      <c r="L19" s="171">
        <v>-16</v>
      </c>
      <c r="M19" s="153"/>
      <c r="N19" s="149">
        <f t="shared" si="7"/>
        <v>-87642</v>
      </c>
      <c r="O19" s="67">
        <f t="shared" si="1"/>
        <v>3240425.9538461543</v>
      </c>
      <c r="P19" s="7">
        <f t="shared" si="4"/>
        <v>42125537.400000006</v>
      </c>
      <c r="Q19" s="164">
        <f>Q18+N19+3</f>
        <v>3566861.45</v>
      </c>
      <c r="R19" s="29">
        <f t="shared" si="2"/>
        <v>2476.6484721443403</v>
      </c>
      <c r="S19" s="5">
        <f>SUM($Q$7:$Q19)/T19-1</f>
        <v>3659025.2192307701</v>
      </c>
      <c r="T19" s="18">
        <v>13</v>
      </c>
      <c r="U19" s="138">
        <f>B19</f>
        <v>44326</v>
      </c>
      <c r="V19" s="131">
        <v>1842.4</v>
      </c>
      <c r="W19" s="105">
        <v>-2209380</v>
      </c>
      <c r="X19" s="167">
        <f>AVERAGE(W19:W27)</f>
        <v>-2198509.111111111</v>
      </c>
      <c r="Y19" s="156">
        <f>Y18-K19-L19-2</f>
        <v>-2209380</v>
      </c>
      <c r="Z19" s="217">
        <f>AVERAGE(Y20:Y27)</f>
        <v>-2197150.25</v>
      </c>
      <c r="AA19" s="92"/>
    </row>
    <row r="20" spans="2:31">
      <c r="B20" s="116">
        <v>44327</v>
      </c>
      <c r="C20" s="14"/>
      <c r="D20" s="87"/>
      <c r="E20" s="87">
        <v>0</v>
      </c>
      <c r="F20" s="23">
        <v>-748593</v>
      </c>
      <c r="G20" s="26">
        <f>D20+E20+F20-E19-F19</f>
        <v>992</v>
      </c>
      <c r="H20" s="132">
        <v>300</v>
      </c>
      <c r="I20" s="63">
        <v>2600</v>
      </c>
      <c r="J20" s="63">
        <v>-700</v>
      </c>
      <c r="K20" s="170">
        <f t="shared" si="3"/>
        <v>2200</v>
      </c>
      <c r="L20" s="171">
        <v>-48</v>
      </c>
      <c r="M20" s="153"/>
      <c r="N20" s="149">
        <f t="shared" si="7"/>
        <v>3144</v>
      </c>
      <c r="O20" s="67">
        <f t="shared" si="1"/>
        <v>3253414.4178571436</v>
      </c>
      <c r="P20" s="7">
        <f t="shared" si="4"/>
        <v>45547801.850000009</v>
      </c>
      <c r="Q20" s="164">
        <f>Q19+N20</f>
        <v>3570005.45</v>
      </c>
      <c r="R20" s="29">
        <f t="shared" si="2"/>
        <v>2472.3445711462246</v>
      </c>
      <c r="S20" s="5">
        <f>SUM($Q$7:$Q20)/T20-1</f>
        <v>3652666.5928571438</v>
      </c>
      <c r="T20" s="18">
        <v>14</v>
      </c>
      <c r="U20" s="138">
        <f>B19+8</f>
        <v>44334</v>
      </c>
      <c r="V20" s="131"/>
      <c r="W20" s="105">
        <v>-2211533</v>
      </c>
      <c r="X20" s="167"/>
      <c r="Y20" s="156">
        <f>Y19-K20-L20-1</f>
        <v>-2211533</v>
      </c>
      <c r="Z20" s="217"/>
      <c r="AA20" s="92"/>
      <c r="AB20" s="92"/>
    </row>
    <row r="21" spans="2:31">
      <c r="B21" s="116">
        <v>44328</v>
      </c>
      <c r="C21" s="14" t="str">
        <f t="shared" si="0"/>
        <v/>
      </c>
      <c r="D21" s="87">
        <f>-72+111</f>
        <v>39</v>
      </c>
      <c r="E21" s="87">
        <v>0</v>
      </c>
      <c r="F21" s="23">
        <v>-734611</v>
      </c>
      <c r="G21" s="26">
        <f>D21+E21+F21-E20-F20</f>
        <v>14021</v>
      </c>
      <c r="H21" s="132">
        <v>300</v>
      </c>
      <c r="I21" s="63">
        <v>-12100</v>
      </c>
      <c r="J21" s="63">
        <v>-700</v>
      </c>
      <c r="K21" s="170">
        <f t="shared" si="3"/>
        <v>-12500</v>
      </c>
      <c r="L21" s="171">
        <v>-25</v>
      </c>
      <c r="M21" s="153"/>
      <c r="N21" s="149">
        <f>L21+K21+G21+M21</f>
        <v>1496</v>
      </c>
      <c r="O21" s="67">
        <f t="shared" si="1"/>
        <v>3264770.8866666676</v>
      </c>
      <c r="P21" s="7">
        <f t="shared" si="4"/>
        <v>48971563.300000012</v>
      </c>
      <c r="Q21" s="164">
        <f>Q20+N21+1</f>
        <v>3571502.45</v>
      </c>
      <c r="R21" s="29">
        <f t="shared" si="2"/>
        <v>2468.6820742605873</v>
      </c>
      <c r="S21" s="5">
        <f>SUM($Q$7:$Q21)/T21-1</f>
        <v>3647255.5833333344</v>
      </c>
      <c r="T21" s="18">
        <v>15</v>
      </c>
      <c r="U21" s="4"/>
      <c r="V21" s="131"/>
      <c r="W21" s="105">
        <v>-2199008</v>
      </c>
      <c r="X21" s="167"/>
      <c r="Y21" s="156">
        <f>Y20-K21-L21</f>
        <v>-2199008</v>
      </c>
      <c r="Z21" s="217"/>
      <c r="AA21" s="92"/>
    </row>
    <row r="22" spans="2:31">
      <c r="B22" s="116">
        <v>44329</v>
      </c>
      <c r="C22" s="14" t="str">
        <f t="shared" si="0"/>
        <v/>
      </c>
      <c r="D22" s="87"/>
      <c r="E22" s="87">
        <v>2</v>
      </c>
      <c r="F22" s="23">
        <v>-731902</v>
      </c>
      <c r="G22" s="26">
        <f>D22+E22+F22-E21-F21</f>
        <v>2711</v>
      </c>
      <c r="H22" s="132">
        <v>300</v>
      </c>
      <c r="I22" s="63">
        <v>12800</v>
      </c>
      <c r="J22" s="63">
        <v>-800</v>
      </c>
      <c r="K22" s="170">
        <f t="shared" si="3"/>
        <v>12300</v>
      </c>
      <c r="L22" s="171">
        <v>-45</v>
      </c>
      <c r="M22" s="153"/>
      <c r="N22" s="149">
        <f>L22+K22+G22+M22</f>
        <v>14966</v>
      </c>
      <c r="O22" s="67">
        <f t="shared" si="1"/>
        <v>3275643.0468750009</v>
      </c>
      <c r="P22" s="7">
        <f t="shared" si="4"/>
        <v>52410288.750000015</v>
      </c>
      <c r="Q22" s="164">
        <f>Q21+N22-2</f>
        <v>3586466.45</v>
      </c>
      <c r="R22" s="29">
        <f t="shared" si="2"/>
        <v>2466.113130410652</v>
      </c>
      <c r="S22" s="5">
        <f>SUM($Q$7:$Q22)/T22+3</f>
        <v>3643460.2000000011</v>
      </c>
      <c r="T22" s="18">
        <v>16</v>
      </c>
      <c r="U22" s="4"/>
      <c r="V22" s="131"/>
      <c r="W22" s="105">
        <v>-2211262</v>
      </c>
      <c r="X22" s="167"/>
      <c r="Y22" s="156">
        <f>Y21-K22-L22+1</f>
        <v>-2211262</v>
      </c>
      <c r="Z22" s="217"/>
      <c r="AA22" s="92"/>
    </row>
    <row r="23" spans="2:31">
      <c r="B23" s="116">
        <v>44330</v>
      </c>
      <c r="C23" s="14"/>
      <c r="D23" s="87"/>
      <c r="E23" s="87">
        <v>0</v>
      </c>
      <c r="F23" s="23">
        <v>-730083</v>
      </c>
      <c r="G23" s="26">
        <f>D23+E23+F23-E22-F22</f>
        <v>1817</v>
      </c>
      <c r="H23" s="132">
        <v>2800</v>
      </c>
      <c r="I23" s="63">
        <v>-16500</v>
      </c>
      <c r="J23" s="63">
        <v>-800</v>
      </c>
      <c r="K23" s="170">
        <f t="shared" si="3"/>
        <v>-14500</v>
      </c>
      <c r="L23" s="171">
        <v>-3</v>
      </c>
      <c r="M23" s="153"/>
      <c r="N23" s="149">
        <f>L23+K23+G23+M23</f>
        <v>-12686</v>
      </c>
      <c r="O23" s="67">
        <f t="shared" si="1"/>
        <v>3284489.9529411774</v>
      </c>
      <c r="P23" s="7">
        <f t="shared" si="4"/>
        <v>55836329.200000018</v>
      </c>
      <c r="Q23" s="164">
        <f>Q22+N23+1</f>
        <v>3573781.45</v>
      </c>
      <c r="R23" s="29">
        <f t="shared" si="2"/>
        <v>2463.3369386091808</v>
      </c>
      <c r="S23" s="5">
        <f>SUM($Q$7:$Q23)/T23</f>
        <v>3639358.6264705895</v>
      </c>
      <c r="T23" s="18">
        <v>17</v>
      </c>
      <c r="U23" s="27"/>
      <c r="V23" s="135"/>
      <c r="W23" s="105">
        <v>-2196759</v>
      </c>
      <c r="X23" s="167"/>
      <c r="Y23" s="156">
        <f>Y22-K23-L23</f>
        <v>-2196759</v>
      </c>
      <c r="Z23" s="217"/>
      <c r="AA23" s="92"/>
    </row>
    <row r="24" spans="2:31">
      <c r="B24" s="116">
        <v>44331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>
        <f t="shared" si="3"/>
        <v>0</v>
      </c>
      <c r="L24" s="171"/>
      <c r="M24" s="153"/>
      <c r="N24" s="149"/>
      <c r="O24" s="67">
        <f t="shared" si="1"/>
        <v>3292353.8138888902</v>
      </c>
      <c r="P24" s="7">
        <f t="shared" si="4"/>
        <v>59262368.650000021</v>
      </c>
      <c r="Q24" s="164">
        <f t="shared" ref="Q24:Q25" si="8">Q23+N24-1</f>
        <v>3573780.45</v>
      </c>
      <c r="R24" s="29">
        <f t="shared" si="2"/>
        <v>2460.8709799205672</v>
      </c>
      <c r="S24" s="5">
        <f>SUM($Q$7:$Q24)/T24</f>
        <v>3635715.3944444456</v>
      </c>
      <c r="T24" s="18">
        <v>18</v>
      </c>
      <c r="U24" s="4"/>
      <c r="V24" s="135"/>
      <c r="W24" s="105">
        <v>-2196759</v>
      </c>
      <c r="X24" s="167"/>
      <c r="Y24" s="156">
        <f t="shared" si="6"/>
        <v>-2196759</v>
      </c>
      <c r="Z24" s="217"/>
      <c r="AA24" s="92"/>
      <c r="AD24" s="1"/>
      <c r="AE24" s="1"/>
    </row>
    <row r="25" spans="2:31">
      <c r="B25" s="116">
        <v>44332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>
        <f t="shared" si="3"/>
        <v>0</v>
      </c>
      <c r="L25" s="171"/>
      <c r="M25" s="153"/>
      <c r="N25" s="149"/>
      <c r="O25" s="67">
        <f t="shared" si="1"/>
        <v>3299389.8473684224</v>
      </c>
      <c r="P25" s="7">
        <f t="shared" si="4"/>
        <v>62688407.100000024</v>
      </c>
      <c r="Q25" s="164">
        <f t="shared" si="8"/>
        <v>3573779.45</v>
      </c>
      <c r="R25" s="29">
        <f t="shared" si="2"/>
        <v>2458.6638833463549</v>
      </c>
      <c r="S25" s="5">
        <f>SUM($Q$7:$Q25)/T25-1</f>
        <v>3632454.6078947382</v>
      </c>
      <c r="T25" s="18">
        <v>19</v>
      </c>
      <c r="U25" s="4"/>
      <c r="V25" s="131"/>
      <c r="W25" s="105">
        <v>-2196759</v>
      </c>
      <c r="X25" s="167"/>
      <c r="Y25" s="156">
        <f t="shared" si="6"/>
        <v>-2196759</v>
      </c>
      <c r="Z25" s="217"/>
      <c r="AA25" s="92"/>
      <c r="AD25" s="1"/>
      <c r="AE25" s="1"/>
    </row>
    <row r="26" spans="2:31">
      <c r="B26" s="116">
        <v>44333</v>
      </c>
      <c r="C26" s="14"/>
      <c r="D26" s="87"/>
      <c r="E26" s="87">
        <v>0</v>
      </c>
      <c r="F26" s="23">
        <v>-734364</v>
      </c>
      <c r="G26" s="26">
        <f>D26+E26+F26-E23-F23</f>
        <v>-4281</v>
      </c>
      <c r="H26" s="132">
        <v>300</v>
      </c>
      <c r="I26" s="63">
        <v>-9000</v>
      </c>
      <c r="J26" s="63">
        <v>-800</v>
      </c>
      <c r="K26" s="170">
        <f t="shared" si="3"/>
        <v>-9500</v>
      </c>
      <c r="L26" s="171">
        <v>5</v>
      </c>
      <c r="M26" s="153"/>
      <c r="N26" s="149">
        <f t="shared" si="7"/>
        <v>-13776</v>
      </c>
      <c r="O26" s="67">
        <f t="shared" si="1"/>
        <v>3305033.5275000012</v>
      </c>
      <c r="P26" s="7">
        <f t="shared" si="4"/>
        <v>66100670.550000027</v>
      </c>
      <c r="Q26" s="164">
        <f>Q25+N26+1</f>
        <v>3560004.45</v>
      </c>
      <c r="R26" s="29">
        <f t="shared" si="2"/>
        <v>2456.2119181540679</v>
      </c>
      <c r="S26" s="5">
        <f>SUM($Q$7:$Q26)/T26-1</f>
        <v>3628832.0500000017</v>
      </c>
      <c r="T26" s="18">
        <v>20</v>
      </c>
      <c r="U26" s="138">
        <f>B26</f>
        <v>44333</v>
      </c>
      <c r="V26" s="131">
        <v>1896.2</v>
      </c>
      <c r="W26" s="105">
        <v>-2187264</v>
      </c>
      <c r="X26" s="167">
        <f>AVERAGE(W26:W34)</f>
        <v>-2166968.888888889</v>
      </c>
      <c r="Y26" s="156">
        <f>Y25-K26-L26</f>
        <v>-2187264</v>
      </c>
      <c r="Z26" s="217">
        <f>AVERAGE(Y26:Y34)</f>
        <v>-2166968.888888889</v>
      </c>
      <c r="AC26" s="92"/>
      <c r="AD26" s="1"/>
      <c r="AE26" s="1"/>
    </row>
    <row r="27" spans="2:31">
      <c r="B27" s="116">
        <v>44334</v>
      </c>
      <c r="C27" s="14" t="str">
        <f t="shared" si="0"/>
        <v/>
      </c>
      <c r="D27" s="87"/>
      <c r="E27" s="87">
        <v>0</v>
      </c>
      <c r="F27" s="23">
        <v>-725438</v>
      </c>
      <c r="G27" s="26">
        <f>D27+E27+F27-E26-F26</f>
        <v>8926</v>
      </c>
      <c r="H27" s="132">
        <v>300</v>
      </c>
      <c r="I27" s="63">
        <v>-8900</v>
      </c>
      <c r="J27" s="63">
        <v>-800</v>
      </c>
      <c r="K27" s="170">
        <f t="shared" si="3"/>
        <v>-9400</v>
      </c>
      <c r="L27" s="171">
        <v>-7</v>
      </c>
      <c r="M27" s="153"/>
      <c r="N27" s="149">
        <f>L27+K27+G27+M27</f>
        <v>-481</v>
      </c>
      <c r="O27" s="67">
        <f t="shared" si="1"/>
        <v>3310116.8571428587</v>
      </c>
      <c r="P27" s="7">
        <f t="shared" si="4"/>
        <v>69512454.00000003</v>
      </c>
      <c r="Q27" s="164">
        <f>Q26+N27+1</f>
        <v>3559524.45</v>
      </c>
      <c r="R27" s="29">
        <f t="shared" si="2"/>
        <v>2453.978002366433</v>
      </c>
      <c r="S27" s="5">
        <f>SUM($Q$7:$Q27)/T27-1</f>
        <v>3625531.6404761919</v>
      </c>
      <c r="T27" s="18">
        <v>21</v>
      </c>
      <c r="U27" s="138">
        <f>B28+6</f>
        <v>44341</v>
      </c>
      <c r="V27" s="159"/>
      <c r="W27" s="105">
        <v>-2177858</v>
      </c>
      <c r="X27" s="167"/>
      <c r="Y27" s="156">
        <f>Y26-K27-L27-1</f>
        <v>-2177858</v>
      </c>
      <c r="Z27" s="217"/>
      <c r="AA27" s="92"/>
      <c r="AD27" s="1"/>
      <c r="AE27" s="1"/>
    </row>
    <row r="28" spans="2:31">
      <c r="B28" s="116">
        <v>44335</v>
      </c>
      <c r="C28" s="14" t="str">
        <f t="shared" si="0"/>
        <v/>
      </c>
      <c r="D28" s="87">
        <f>-111+117</f>
        <v>6</v>
      </c>
      <c r="E28" s="87">
        <v>0</v>
      </c>
      <c r="F28" s="23">
        <v>-738610</v>
      </c>
      <c r="G28" s="26">
        <f>D28+E28+F28-E27-F27</f>
        <v>-13166</v>
      </c>
      <c r="H28" s="132">
        <v>-17300</v>
      </c>
      <c r="I28" s="63">
        <v>-5800</v>
      </c>
      <c r="J28" s="63">
        <v>-800</v>
      </c>
      <c r="K28" s="170">
        <f t="shared" si="3"/>
        <v>-23900</v>
      </c>
      <c r="L28" s="171">
        <v>-12</v>
      </c>
      <c r="M28" s="153"/>
      <c r="N28" s="149">
        <f>L28+K28+G28+M28</f>
        <v>-37078</v>
      </c>
      <c r="O28" s="67">
        <f t="shared" si="1"/>
        <v>3313052.7477272744</v>
      </c>
      <c r="P28" s="7">
        <f t="shared" si="4"/>
        <v>72887160.450000033</v>
      </c>
      <c r="Q28" s="164">
        <f>Q27+N28+1</f>
        <v>3522447.45</v>
      </c>
      <c r="R28" s="29">
        <f t="shared" si="2"/>
        <v>2450.8064450626443</v>
      </c>
      <c r="S28" s="5">
        <f>SUM($Q$7:$Q28)/T28-1</f>
        <v>3620845.9500000016</v>
      </c>
      <c r="T28" s="18">
        <v>22</v>
      </c>
      <c r="U28" s="4"/>
      <c r="V28" s="131"/>
      <c r="W28" s="105">
        <v>-2153946</v>
      </c>
      <c r="X28" s="167"/>
      <c r="Y28" s="156">
        <f>Y27-K28-L28</f>
        <v>-2153946</v>
      </c>
      <c r="Z28" s="217"/>
      <c r="AA28" s="92"/>
      <c r="AD28" s="1"/>
      <c r="AE28" s="1"/>
    </row>
    <row r="29" spans="2:31">
      <c r="B29" s="116">
        <v>44336</v>
      </c>
      <c r="C29" s="14" t="str">
        <f t="shared" si="0"/>
        <v/>
      </c>
      <c r="D29" s="87"/>
      <c r="E29" s="87">
        <v>1</v>
      </c>
      <c r="F29" s="23">
        <v>-739024</v>
      </c>
      <c r="G29" s="26">
        <f>D29+E29+F29-E28-F28</f>
        <v>-413</v>
      </c>
      <c r="H29" s="132">
        <v>-17300</v>
      </c>
      <c r="I29" s="63">
        <v>25000</v>
      </c>
      <c r="J29" s="63">
        <v>-900</v>
      </c>
      <c r="K29" s="170">
        <f t="shared" si="3"/>
        <v>6800</v>
      </c>
      <c r="L29" s="171">
        <v>-44</v>
      </c>
      <c r="M29" s="153"/>
      <c r="N29" s="149">
        <f>L29+K29+G29+M29</f>
        <v>6343</v>
      </c>
      <c r="O29" s="67">
        <f t="shared" si="1"/>
        <v>3316009.2565217405</v>
      </c>
      <c r="P29" s="7">
        <f t="shared" si="4"/>
        <v>76268212.900000036</v>
      </c>
      <c r="Q29" s="164">
        <f>Q28+N29+3</f>
        <v>3528793.45</v>
      </c>
      <c r="R29" s="29">
        <f t="shared" si="2"/>
        <v>2448.0974299030363</v>
      </c>
      <c r="S29" s="5">
        <f>SUM($Q$7:$Q29)/T29-1</f>
        <v>3616843.623913045</v>
      </c>
      <c r="T29" s="18">
        <v>23</v>
      </c>
      <c r="U29" s="4"/>
      <c r="V29" s="131"/>
      <c r="W29" s="105">
        <v>-2160704</v>
      </c>
      <c r="X29" s="167"/>
      <c r="Y29" s="156">
        <f>Y28-K29-L29-2</f>
        <v>-2160704</v>
      </c>
      <c r="Z29" s="217"/>
      <c r="AA29" s="92"/>
      <c r="AD29" s="1"/>
      <c r="AE29" s="1"/>
    </row>
    <row r="30" spans="2:31">
      <c r="B30" s="116">
        <v>44337</v>
      </c>
      <c r="C30" s="14" t="str">
        <f t="shared" si="0"/>
        <v/>
      </c>
      <c r="D30" s="87"/>
      <c r="E30" s="87">
        <v>0</v>
      </c>
      <c r="F30" s="23">
        <v>-738242</v>
      </c>
      <c r="G30" s="26">
        <f>D30+E30+F30-E29-F29</f>
        <v>781</v>
      </c>
      <c r="H30" s="132">
        <v>2000</v>
      </c>
      <c r="I30" s="25">
        <v>10700</v>
      </c>
      <c r="J30" s="25">
        <v>-900</v>
      </c>
      <c r="K30" s="170">
        <f t="shared" si="3"/>
        <v>11800</v>
      </c>
      <c r="L30" s="171">
        <v>-46</v>
      </c>
      <c r="M30" s="153"/>
      <c r="N30" s="149">
        <f>L30+K30+G30+M30</f>
        <v>12535</v>
      </c>
      <c r="O30" s="67">
        <f t="shared" si="1"/>
        <v>3319241.6395833348</v>
      </c>
      <c r="P30" s="7">
        <f t="shared" si="4"/>
        <v>79661799.350000039</v>
      </c>
      <c r="Q30" s="164">
        <f>Q29+N30-1</f>
        <v>3541327.45</v>
      </c>
      <c r="R30" s="29">
        <f t="shared" si="2"/>
        <v>2445.9723942575192</v>
      </c>
      <c r="S30" s="5">
        <f>SUM($Q$7:$Q30)/T30+6</f>
        <v>3613704.0750000016</v>
      </c>
      <c r="T30" s="18">
        <v>24</v>
      </c>
      <c r="U30" s="4"/>
      <c r="V30" s="131"/>
      <c r="W30" s="105">
        <v>-2172458</v>
      </c>
      <c r="X30" s="167"/>
      <c r="Y30" s="156">
        <f>Y29-K30-L30</f>
        <v>-2172458</v>
      </c>
      <c r="Z30" s="217"/>
      <c r="AA30" s="92"/>
      <c r="AD30" s="1"/>
      <c r="AE30" s="1"/>
    </row>
    <row r="31" spans="2:31">
      <c r="B31" s="116">
        <v>44338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3322215.4320000019</v>
      </c>
      <c r="P31" s="7">
        <f t="shared" si="4"/>
        <v>83055385.800000042</v>
      </c>
      <c r="Q31" s="164">
        <f t="shared" ref="Q31:Q47" si="9">Q30+N31</f>
        <v>3541327.45</v>
      </c>
      <c r="R31" s="29">
        <f t="shared" si="2"/>
        <v>2444.0102950433543</v>
      </c>
      <c r="S31" s="5">
        <f>SUM($Q$7:$Q31)/T31+2</f>
        <v>3610805.2500000019</v>
      </c>
      <c r="T31" s="18">
        <v>25</v>
      </c>
      <c r="U31" s="4"/>
      <c r="V31" s="137"/>
      <c r="W31" s="105">
        <v>-2172458</v>
      </c>
      <c r="X31" s="167"/>
      <c r="Y31" s="156">
        <f t="shared" si="6"/>
        <v>-2172458</v>
      </c>
      <c r="Z31" s="217"/>
      <c r="AA31" s="92"/>
      <c r="AB31" s="92"/>
      <c r="AD31" s="1"/>
      <c r="AE31" s="1"/>
    </row>
    <row r="32" spans="2:31">
      <c r="B32" s="116">
        <v>44339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3324960.4711538479</v>
      </c>
      <c r="P32" s="7">
        <f t="shared" si="4"/>
        <v>86448972.250000045</v>
      </c>
      <c r="Q32" s="164">
        <f t="shared" si="9"/>
        <v>3541327.45</v>
      </c>
      <c r="R32" s="29">
        <f t="shared" si="2"/>
        <v>2442.1962108325756</v>
      </c>
      <c r="S32" s="5">
        <f>SUM($Q$7:$Q32)/T32-6</f>
        <v>3608125.1038461556</v>
      </c>
      <c r="T32" s="18">
        <v>26</v>
      </c>
      <c r="U32" s="27"/>
      <c r="V32" s="137"/>
      <c r="W32" s="105">
        <v>-2172458</v>
      </c>
      <c r="X32" s="167"/>
      <c r="Y32" s="156">
        <f t="shared" si="6"/>
        <v>-2172458</v>
      </c>
      <c r="Z32" s="217"/>
      <c r="AD32" s="1"/>
      <c r="AE32" s="1"/>
    </row>
    <row r="33" spans="2:31">
      <c r="B33" s="116">
        <v>44340</v>
      </c>
      <c r="C33" s="14" t="str">
        <f t="shared" si="0"/>
        <v/>
      </c>
      <c r="D33" s="87"/>
      <c r="E33" s="87">
        <v>0</v>
      </c>
      <c r="F33" s="23">
        <v>-739038</v>
      </c>
      <c r="G33" s="26">
        <f>D33+E33+F33-E30-F30</f>
        <v>-796</v>
      </c>
      <c r="H33" s="132">
        <v>-3700</v>
      </c>
      <c r="I33" s="25">
        <v>-11100</v>
      </c>
      <c r="J33" s="25">
        <v>-500</v>
      </c>
      <c r="K33" s="170">
        <f t="shared" si="3"/>
        <v>-15300</v>
      </c>
      <c r="L33" s="171">
        <v>34</v>
      </c>
      <c r="M33" s="153"/>
      <c r="N33" s="149">
        <f t="shared" si="7"/>
        <v>-16062</v>
      </c>
      <c r="O33" s="67">
        <f t="shared" si="1"/>
        <v>3326907.2481481498</v>
      </c>
      <c r="P33" s="7">
        <f t="shared" si="4"/>
        <v>89826495.700000048</v>
      </c>
      <c r="Q33" s="164">
        <f>Q32+N33-1</f>
        <v>3525264.45</v>
      </c>
      <c r="R33" s="29">
        <f t="shared" si="2"/>
        <v>2440.1222196401272</v>
      </c>
      <c r="S33" s="5">
        <f>SUM($Q$7:$Q33)/T33-1</f>
        <v>3605060.9685185202</v>
      </c>
      <c r="T33" s="18">
        <v>27</v>
      </c>
      <c r="U33" s="138">
        <f>B33</f>
        <v>44340</v>
      </c>
      <c r="V33" s="131"/>
      <c r="W33" s="105">
        <v>-2157192</v>
      </c>
      <c r="X33" s="167">
        <f>AVERAGE(W33:W41)</f>
        <v>-2164170.5555555555</v>
      </c>
      <c r="Y33" s="156">
        <f>Y32-K33-L33</f>
        <v>-2157192</v>
      </c>
      <c r="Z33" s="217">
        <f>AVERAGE(Y33:Y41)</f>
        <v>-2164170.5555555555</v>
      </c>
      <c r="AD33" s="1"/>
      <c r="AE33" s="1"/>
    </row>
    <row r="34" spans="2:31">
      <c r="B34" s="116">
        <v>44341</v>
      </c>
      <c r="C34" s="14" t="str">
        <f t="shared" si="0"/>
        <v/>
      </c>
      <c r="D34" s="87"/>
      <c r="E34" s="87">
        <v>0</v>
      </c>
      <c r="F34" s="23">
        <v>-742416</v>
      </c>
      <c r="G34" s="26">
        <f>D34+E34+F34-E33-F33</f>
        <v>-3378</v>
      </c>
      <c r="H34" s="132">
        <v>300</v>
      </c>
      <c r="I34" s="25">
        <v>-8600</v>
      </c>
      <c r="J34" s="25">
        <v>-500</v>
      </c>
      <c r="K34" s="170">
        <f t="shared" si="3"/>
        <v>-8800</v>
      </c>
      <c r="L34" s="171">
        <v>-10</v>
      </c>
      <c r="M34" s="153"/>
      <c r="N34" s="149">
        <f>L34+K34+G34+M34</f>
        <v>-12188</v>
      </c>
      <c r="O34" s="67">
        <f t="shared" si="1"/>
        <v>3328279.683928573</v>
      </c>
      <c r="P34" s="7">
        <f t="shared" si="4"/>
        <v>93191831.150000051</v>
      </c>
      <c r="Q34" s="164">
        <f>Q33+N34</f>
        <v>3513076.45</v>
      </c>
      <c r="R34" s="29">
        <f t="shared" si="2"/>
        <v>2437.8992774034109</v>
      </c>
      <c r="S34" s="5">
        <f>SUM($Q$7:$Q34)/T34</f>
        <v>3601776.7714285734</v>
      </c>
      <c r="T34" s="18">
        <v>28</v>
      </c>
      <c r="U34" s="138">
        <f>B33+8</f>
        <v>44348</v>
      </c>
      <c r="V34" s="131"/>
      <c r="W34" s="105">
        <v>-2148382</v>
      </c>
      <c r="X34" s="167"/>
      <c r="Y34" s="156">
        <f>Y33-K34-L34</f>
        <v>-2148382</v>
      </c>
      <c r="Z34" s="217"/>
      <c r="AA34" s="92"/>
      <c r="AD34" s="1"/>
      <c r="AE34" s="1"/>
    </row>
    <row r="35" spans="2:31">
      <c r="B35" s="116">
        <v>44342</v>
      </c>
      <c r="C35" s="14" t="str">
        <f t="shared" si="0"/>
        <v/>
      </c>
      <c r="D35" s="87">
        <f>-117+376</f>
        <v>259</v>
      </c>
      <c r="E35" s="87">
        <v>110</v>
      </c>
      <c r="F35" s="23">
        <v>-742332</v>
      </c>
      <c r="G35" s="26">
        <f>D35+E35+F35-E34-F34</f>
        <v>453</v>
      </c>
      <c r="H35" s="132">
        <v>300</v>
      </c>
      <c r="I35" s="25">
        <v>-200</v>
      </c>
      <c r="J35" s="25">
        <v>-500</v>
      </c>
      <c r="K35" s="170">
        <f t="shared" si="3"/>
        <v>-400</v>
      </c>
      <c r="L35" s="171">
        <v>22</v>
      </c>
      <c r="M35" s="153"/>
      <c r="N35" s="149">
        <f t="shared" si="7"/>
        <v>75</v>
      </c>
      <c r="O35" s="67">
        <f t="shared" si="1"/>
        <v>3329560.1241379329</v>
      </c>
      <c r="P35" s="7">
        <f t="shared" si="4"/>
        <v>96557243.600000054</v>
      </c>
      <c r="Q35" s="164">
        <f>Q34+N35+2</f>
        <v>3513153.45</v>
      </c>
      <c r="R35" s="29">
        <f t="shared" si="2"/>
        <v>2435.8308085281597</v>
      </c>
      <c r="S35" s="5">
        <f>SUM($Q$7:$Q35)/T35</f>
        <v>3598720.7948275884</v>
      </c>
      <c r="T35" s="18">
        <v>29</v>
      </c>
      <c r="U35" s="4"/>
      <c r="V35" s="131"/>
      <c r="W35" s="105">
        <v>-2148005</v>
      </c>
      <c r="X35" s="167"/>
      <c r="Y35" s="156">
        <f>Y34-K35-L35-1</f>
        <v>-2148005</v>
      </c>
      <c r="Z35" s="217"/>
      <c r="AA35" s="92"/>
      <c r="AD35" s="1"/>
      <c r="AE35" s="1"/>
    </row>
    <row r="36" spans="2:31">
      <c r="B36" s="116">
        <v>44343</v>
      </c>
      <c r="C36" s="14" t="str">
        <f t="shared" si="0"/>
        <v/>
      </c>
      <c r="D36" s="87">
        <f>-30+40</f>
        <v>10</v>
      </c>
      <c r="E36" s="87">
        <v>146</v>
      </c>
      <c r="F36" s="23">
        <v>-744339</v>
      </c>
      <c r="G36" s="26">
        <f>D36+E36+F36-E35-F35</f>
        <v>-1961</v>
      </c>
      <c r="H36" s="132">
        <v>300</v>
      </c>
      <c r="I36" s="25">
        <v>3600</v>
      </c>
      <c r="J36" s="25">
        <v>-500</v>
      </c>
      <c r="K36" s="170">
        <f t="shared" si="3"/>
        <v>3400</v>
      </c>
      <c r="L36" s="171">
        <v>-43</v>
      </c>
      <c r="M36" s="153"/>
      <c r="N36" s="149">
        <f t="shared" si="7"/>
        <v>1396</v>
      </c>
      <c r="O36" s="67">
        <f t="shared" si="1"/>
        <v>3330801.6016666684</v>
      </c>
      <c r="P36" s="7">
        <f t="shared" si="4"/>
        <v>99924048.050000057</v>
      </c>
      <c r="Q36" s="164">
        <f>Q35+N36-4</f>
        <v>3514545.45</v>
      </c>
      <c r="R36" s="29">
        <f t="shared" si="2"/>
        <v>2433.9153992459792</v>
      </c>
      <c r="S36" s="5">
        <f>SUM($Q$7:$Q36)/T36-24</f>
        <v>3595890.950000002</v>
      </c>
      <c r="T36" s="18">
        <v>30</v>
      </c>
      <c r="U36" s="4"/>
      <c r="V36" s="136"/>
      <c r="W36" s="105">
        <v>-2151359</v>
      </c>
      <c r="X36" s="167"/>
      <c r="Y36" s="156">
        <f>Y35-K36-L36+3</f>
        <v>-2151359</v>
      </c>
      <c r="Z36" s="217"/>
      <c r="AD36" s="1"/>
      <c r="AE36" s="1"/>
    </row>
    <row r="37" spans="2:31">
      <c r="B37" s="116">
        <v>44344</v>
      </c>
      <c r="C37" s="14" t="str">
        <f t="shared" si="0"/>
        <v/>
      </c>
      <c r="D37" s="87"/>
      <c r="E37" s="87">
        <v>0</v>
      </c>
      <c r="F37" s="23">
        <v>-758898</v>
      </c>
      <c r="G37" s="26">
        <f>D37+E37+F37-E36-F36</f>
        <v>-14705</v>
      </c>
      <c r="H37" s="132">
        <v>300</v>
      </c>
      <c r="I37" s="25">
        <v>4200</v>
      </c>
      <c r="J37" s="25">
        <v>-600</v>
      </c>
      <c r="K37" s="170">
        <f t="shared" si="3"/>
        <v>3900</v>
      </c>
      <c r="L37" s="171">
        <v>11</v>
      </c>
      <c r="M37" s="153"/>
      <c r="N37" s="149">
        <f t="shared" si="7"/>
        <v>-10794</v>
      </c>
      <c r="O37" s="67">
        <f t="shared" si="1"/>
        <v>3331614.7258064537</v>
      </c>
      <c r="P37" s="7">
        <f t="shared" si="4"/>
        <v>103280056.50000006</v>
      </c>
      <c r="Q37" s="164">
        <f>Q36+N37-2</f>
        <v>3503749.45</v>
      </c>
      <c r="R37" s="29">
        <f t="shared" si="2"/>
        <v>2431.9199608469153</v>
      </c>
      <c r="S37" s="5">
        <f>SUM($Q$7:$Q37)/T37+1</f>
        <v>3592942.8693548408</v>
      </c>
      <c r="T37" s="18">
        <v>31</v>
      </c>
      <c r="U37" s="27"/>
      <c r="V37" s="137"/>
      <c r="W37" s="105">
        <v>-2155268</v>
      </c>
      <c r="X37" s="167"/>
      <c r="Y37" s="156">
        <f>Y36-K37-L37+2</f>
        <v>-2155268</v>
      </c>
      <c r="Z37" s="217"/>
      <c r="AA37" s="92"/>
      <c r="AD37" s="1"/>
      <c r="AE37" s="1"/>
    </row>
    <row r="38" spans="2:31">
      <c r="B38" s="116">
        <v>44345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/>
      <c r="O38" s="67">
        <f t="shared" si="1"/>
        <v>3332377.029687502</v>
      </c>
      <c r="P38" s="7">
        <f t="shared" si="4"/>
        <v>106636064.95000006</v>
      </c>
      <c r="Q38" s="164">
        <f t="shared" si="9"/>
        <v>3503749.45</v>
      </c>
      <c r="R38" s="29">
        <f t="shared" si="2"/>
        <v>2430.0326965771196</v>
      </c>
      <c r="S38" s="5">
        <f>SUM($Q$7:$Q38)/T38</f>
        <v>3590154.606250002</v>
      </c>
      <c r="T38" s="18">
        <v>32</v>
      </c>
      <c r="U38" s="27"/>
      <c r="V38" s="137"/>
      <c r="W38" s="105">
        <v>-2155268</v>
      </c>
      <c r="X38" s="167"/>
      <c r="Y38" s="156">
        <f t="shared" si="6"/>
        <v>-2155268</v>
      </c>
      <c r="Z38" s="217"/>
      <c r="AD38" s="1"/>
      <c r="AE38" s="1"/>
    </row>
    <row r="39" spans="2:31">
      <c r="B39" s="116">
        <v>44346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/>
      <c r="O39" s="67">
        <f t="shared" si="1"/>
        <v>3333093.1333333352</v>
      </c>
      <c r="P39" s="7">
        <f t="shared" si="4"/>
        <v>109992073.40000007</v>
      </c>
      <c r="Q39" s="164">
        <f t="shared" si="9"/>
        <v>3503749.45</v>
      </c>
      <c r="R39" s="29">
        <f t="shared" si="2"/>
        <v>2428.2618015187527</v>
      </c>
      <c r="S39" s="5">
        <f>SUM($Q$7:$Q39)/T39+2</f>
        <v>3587538.2681818204</v>
      </c>
      <c r="T39" s="18">
        <v>33</v>
      </c>
      <c r="U39" s="27"/>
      <c r="V39" s="137"/>
      <c r="W39" s="105">
        <v>-2155268</v>
      </c>
      <c r="X39" s="167"/>
      <c r="Y39" s="156">
        <f t="shared" si="6"/>
        <v>-2155268</v>
      </c>
      <c r="Z39" s="217"/>
      <c r="AD39" s="1"/>
      <c r="AE39" s="1"/>
    </row>
    <row r="40" spans="2:31">
      <c r="B40" s="116">
        <v>44347</v>
      </c>
      <c r="C40" s="14" t="str">
        <f t="shared" si="0"/>
        <v/>
      </c>
      <c r="D40" s="87"/>
      <c r="E40" s="87">
        <v>0</v>
      </c>
      <c r="F40" s="23">
        <v>-728830</v>
      </c>
      <c r="G40" s="26">
        <f>D40+E40+F40-E37-F37</f>
        <v>30068</v>
      </c>
      <c r="H40" s="132">
        <v>300</v>
      </c>
      <c r="I40" s="25">
        <v>31350</v>
      </c>
      <c r="J40" s="25">
        <v>-700</v>
      </c>
      <c r="K40" s="170">
        <f t="shared" si="3"/>
        <v>30950</v>
      </c>
      <c r="L40" s="171">
        <v>31</v>
      </c>
      <c r="M40" s="153"/>
      <c r="N40" s="149">
        <f t="shared" si="7"/>
        <v>61049</v>
      </c>
      <c r="O40" s="67">
        <f t="shared" si="1"/>
        <v>3335562.6720588254</v>
      </c>
      <c r="P40" s="7">
        <f t="shared" si="4"/>
        <v>113409130.85000007</v>
      </c>
      <c r="Q40" s="164">
        <f>Q39+N40</f>
        <v>3564798.45</v>
      </c>
      <c r="R40" s="29">
        <f t="shared" si="2"/>
        <v>2427.8084680782799</v>
      </c>
      <c r="S40" s="5">
        <f>SUM($Q$7:$Q40)/T40+1</f>
        <v>3586868.5088235317</v>
      </c>
      <c r="T40" s="18">
        <v>34</v>
      </c>
      <c r="U40" s="138">
        <f>B40</f>
        <v>44347</v>
      </c>
      <c r="V40" s="131"/>
      <c r="W40" s="105">
        <v>-2186248</v>
      </c>
      <c r="X40" s="167">
        <f>AVERAGE(W40:W48)</f>
        <v>-2226205.888888889</v>
      </c>
      <c r="Y40" s="156">
        <f>Y39-K40-L40+1</f>
        <v>-2186248</v>
      </c>
      <c r="Z40" s="217">
        <f>AVERAGE(Y40:Y48)</f>
        <v>-2226205.888888889</v>
      </c>
      <c r="AD40" s="1"/>
      <c r="AE40" s="1"/>
    </row>
    <row r="41" spans="2:31">
      <c r="B41" s="116">
        <v>44348</v>
      </c>
      <c r="C41" s="14" t="str">
        <f t="shared" si="0"/>
        <v/>
      </c>
      <c r="D41" s="87"/>
      <c r="E41" s="87">
        <v>0</v>
      </c>
      <c r="F41" s="23">
        <v>-738849</v>
      </c>
      <c r="G41" s="26">
        <f>D41+E41+F41-E40-F40</f>
        <v>-10019</v>
      </c>
      <c r="H41" s="132">
        <v>8300</v>
      </c>
      <c r="I41" s="25">
        <v>26650</v>
      </c>
      <c r="J41" s="25">
        <v>-700</v>
      </c>
      <c r="K41" s="170">
        <f t="shared" si="3"/>
        <v>34250</v>
      </c>
      <c r="L41" s="171">
        <v>48</v>
      </c>
      <c r="M41" s="153"/>
      <c r="N41" s="149">
        <f t="shared" si="7"/>
        <v>24279</v>
      </c>
      <c r="O41" s="67">
        <f t="shared" si="1"/>
        <v>3338584.7514285734</v>
      </c>
      <c r="P41" s="7">
        <f t="shared" si="4"/>
        <v>116850466.30000007</v>
      </c>
      <c r="Q41" s="164">
        <f>Q40+N41-1</f>
        <v>3589076.45</v>
      </c>
      <c r="R41" s="29">
        <f t="shared" si="2"/>
        <v>2427.8511864875513</v>
      </c>
      <c r="S41" s="5">
        <f>SUM($Q$7:$Q41)/T41+1</f>
        <v>3586931.6214285735</v>
      </c>
      <c r="T41" s="18">
        <v>35</v>
      </c>
      <c r="U41" s="138">
        <f>B40+8</f>
        <v>44355</v>
      </c>
      <c r="V41" s="137"/>
      <c r="W41" s="105">
        <v>-2220545</v>
      </c>
      <c r="X41" s="167"/>
      <c r="Y41" s="156">
        <f t="shared" ref="Y41:Y47" si="10">Y40-K41-L41+1</f>
        <v>-2220545</v>
      </c>
      <c r="Z41" s="217"/>
      <c r="AD41" s="1"/>
      <c r="AE41" s="1"/>
    </row>
    <row r="42" spans="2:31">
      <c r="B42" s="116">
        <v>44349</v>
      </c>
      <c r="C42" s="14" t="str">
        <f t="shared" si="0"/>
        <v/>
      </c>
      <c r="D42" s="87">
        <f>-376+197</f>
        <v>-179</v>
      </c>
      <c r="E42" s="87">
        <v>0</v>
      </c>
      <c r="F42" s="23">
        <v>-734627</v>
      </c>
      <c r="G42" s="26">
        <f t="shared" ref="G42:G44" si="11">D42+E42+F42-E41-F41</f>
        <v>4043</v>
      </c>
      <c r="H42" s="132">
        <v>300</v>
      </c>
      <c r="I42" s="25">
        <v>-6870</v>
      </c>
      <c r="J42" s="25">
        <v>-700</v>
      </c>
      <c r="K42" s="170">
        <f t="shared" si="3"/>
        <v>-7270</v>
      </c>
      <c r="L42" s="171">
        <v>-3</v>
      </c>
      <c r="M42" s="153"/>
      <c r="N42" s="149">
        <f t="shared" si="7"/>
        <v>-3230</v>
      </c>
      <c r="O42" s="67">
        <f t="shared" si="1"/>
        <v>3341349.2152777798</v>
      </c>
      <c r="P42" s="7">
        <f t="shared" si="4"/>
        <v>120288571.75000007</v>
      </c>
      <c r="Q42" s="164">
        <f t="shared" si="9"/>
        <v>3585846.45</v>
      </c>
      <c r="R42" s="29">
        <f t="shared" si="2"/>
        <v>2427.8308022522911</v>
      </c>
      <c r="S42" s="5">
        <f>SUM($Q$7:$Q42)/T42+1</f>
        <v>3586901.5055555576</v>
      </c>
      <c r="T42" s="18">
        <v>36</v>
      </c>
      <c r="U42" s="27"/>
      <c r="V42" s="137"/>
      <c r="W42" s="105">
        <v>-2213273</v>
      </c>
      <c r="X42" s="167"/>
      <c r="Y42" s="156">
        <f>Y41-K42-L42-1</f>
        <v>-2213273</v>
      </c>
      <c r="Z42" s="217"/>
      <c r="AD42" s="1"/>
      <c r="AE42" s="1"/>
    </row>
    <row r="43" spans="2:31">
      <c r="B43" s="116">
        <v>44350</v>
      </c>
      <c r="C43" s="14" t="str">
        <f t="shared" si="0"/>
        <v/>
      </c>
      <c r="D43" s="87"/>
      <c r="E43" s="87">
        <v>6</v>
      </c>
      <c r="F43" s="23">
        <v>-744146</v>
      </c>
      <c r="G43" s="26">
        <f t="shared" si="11"/>
        <v>-9513</v>
      </c>
      <c r="H43" s="132">
        <v>300</v>
      </c>
      <c r="I43" s="25">
        <v>10400</v>
      </c>
      <c r="J43" s="25">
        <v>-700</v>
      </c>
      <c r="K43" s="170">
        <f t="shared" si="3"/>
        <v>10000</v>
      </c>
      <c r="L43" s="171">
        <v>21</v>
      </c>
      <c r="M43" s="153"/>
      <c r="N43" s="149">
        <f t="shared" si="7"/>
        <v>508</v>
      </c>
      <c r="O43" s="67">
        <f t="shared" si="1"/>
        <v>3343977.9243243262</v>
      </c>
      <c r="P43" s="7">
        <f t="shared" si="4"/>
        <v>123727183.20000008</v>
      </c>
      <c r="Q43" s="164">
        <f>Q42+N43-2</f>
        <v>3586352.45</v>
      </c>
      <c r="R43" s="29">
        <f t="shared" si="2"/>
        <v>2427.8207763878991</v>
      </c>
      <c r="S43" s="5">
        <f>SUM($Q$7:$Q43)/T43+1</f>
        <v>3586886.6932432456</v>
      </c>
      <c r="T43" s="18">
        <v>37</v>
      </c>
      <c r="U43" s="27"/>
      <c r="V43" s="137"/>
      <c r="W43" s="105">
        <v>-2223292</v>
      </c>
      <c r="X43" s="167"/>
      <c r="Y43" s="156">
        <f>Y42-K43-L43+2</f>
        <v>-2223292</v>
      </c>
      <c r="Z43" s="217"/>
      <c r="AD43" s="1"/>
      <c r="AE43" s="1"/>
    </row>
    <row r="44" spans="2:31">
      <c r="B44" s="116">
        <v>44351</v>
      </c>
      <c r="C44" s="14" t="str">
        <f t="shared" si="0"/>
        <v/>
      </c>
      <c r="D44" s="87"/>
      <c r="E44" s="87">
        <v>3</v>
      </c>
      <c r="F44" s="23">
        <v>-736555</v>
      </c>
      <c r="G44" s="26">
        <f t="shared" si="11"/>
        <v>7588</v>
      </c>
      <c r="H44" s="132">
        <v>300</v>
      </c>
      <c r="I44" s="25">
        <v>18250</v>
      </c>
      <c r="J44" s="25">
        <v>-700</v>
      </c>
      <c r="K44" s="170">
        <f t="shared" si="3"/>
        <v>17850</v>
      </c>
      <c r="L44" s="171">
        <v>37</v>
      </c>
      <c r="M44" s="153"/>
      <c r="N44" s="149">
        <f t="shared" si="7"/>
        <v>25475</v>
      </c>
      <c r="O44" s="67">
        <f t="shared" si="1"/>
        <v>3347138.6750000021</v>
      </c>
      <c r="P44" s="7">
        <f t="shared" si="4"/>
        <v>127191269.65000008</v>
      </c>
      <c r="Q44" s="164">
        <f>Q43+N44</f>
        <v>3611827.45</v>
      </c>
      <c r="R44" s="29">
        <f t="shared" si="2"/>
        <v>2428.2643648433136</v>
      </c>
      <c r="S44" s="5">
        <f>SUM($Q$7:$Q44)/T44</f>
        <v>3587542.0552631603</v>
      </c>
      <c r="T44" s="18">
        <v>38</v>
      </c>
      <c r="U44" s="27"/>
      <c r="V44" s="137"/>
      <c r="W44" s="105">
        <v>-2241178</v>
      </c>
      <c r="X44" s="167"/>
      <c r="Y44" s="156">
        <f>Y43-K44-L44+1</f>
        <v>-2241178</v>
      </c>
      <c r="Z44" s="217"/>
      <c r="AD44" s="1"/>
      <c r="AE44" s="1"/>
    </row>
    <row r="45" spans="2:31">
      <c r="B45" s="116">
        <v>44352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3350137.3358974382</v>
      </c>
      <c r="P45" s="7">
        <f t="shared" si="4"/>
        <v>130655356.10000008</v>
      </c>
      <c r="Q45" s="164">
        <f t="shared" si="9"/>
        <v>3611827.45</v>
      </c>
      <c r="R45" s="29">
        <f t="shared" si="2"/>
        <v>2428.6858473222123</v>
      </c>
      <c r="S45" s="5">
        <f>SUM($Q$7:$Q45)/T45</f>
        <v>3588164.7576923096</v>
      </c>
      <c r="T45" s="18">
        <v>39</v>
      </c>
      <c r="U45" s="27"/>
      <c r="V45" s="137"/>
      <c r="W45" s="105">
        <v>-2241178</v>
      </c>
      <c r="X45" s="167"/>
      <c r="Y45" s="156">
        <f>Y44-K45-L45</f>
        <v>-2241178</v>
      </c>
      <c r="Z45" s="217"/>
      <c r="AD45" s="1"/>
      <c r="AE45" s="1"/>
    </row>
    <row r="46" spans="2:31">
      <c r="B46" s="116">
        <v>44353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3352986.0637500021</v>
      </c>
      <c r="P46" s="7">
        <f t="shared" si="4"/>
        <v>134119442.55000009</v>
      </c>
      <c r="Q46" s="164">
        <f t="shared" si="9"/>
        <v>3611827.45</v>
      </c>
      <c r="R46" s="29">
        <f t="shared" si="2"/>
        <v>2429.0869325373469</v>
      </c>
      <c r="S46" s="5">
        <f>SUM($Q$7:$Q46)/T46+1</f>
        <v>3588757.3250000016</v>
      </c>
      <c r="T46" s="18">
        <v>40</v>
      </c>
      <c r="U46" s="27"/>
      <c r="V46" s="137"/>
      <c r="W46" s="105">
        <v>-2241178</v>
      </c>
      <c r="X46" s="167"/>
      <c r="Y46" s="156">
        <f>Y45-K46-L46</f>
        <v>-2241178</v>
      </c>
      <c r="Z46" s="217"/>
      <c r="AD46" s="1"/>
      <c r="AE46" s="1"/>
    </row>
    <row r="47" spans="2:31">
      <c r="B47" s="116">
        <v>44354</v>
      </c>
      <c r="C47" s="14" t="str">
        <f t="shared" ref="C47:C55" si="12">IF(OR(WEEKDAY(B47)=1,WEEKDAY(B47)=7),"F","")</f>
        <v/>
      </c>
      <c r="D47" s="87"/>
      <c r="E47" s="87">
        <v>3</v>
      </c>
      <c r="F47" s="23">
        <v>-749626</v>
      </c>
      <c r="G47" s="26">
        <f>D47+E47+F47-E44-F44</f>
        <v>-13071</v>
      </c>
      <c r="H47" s="132">
        <v>300</v>
      </c>
      <c r="I47" s="25">
        <v>-8050</v>
      </c>
      <c r="J47" s="25">
        <v>200</v>
      </c>
      <c r="K47" s="170">
        <f t="shared" si="3"/>
        <v>-7550</v>
      </c>
      <c r="L47" s="171">
        <v>-3</v>
      </c>
      <c r="M47" s="153"/>
      <c r="N47" s="149">
        <f t="shared" si="7"/>
        <v>-20624</v>
      </c>
      <c r="O47" s="67">
        <f t="shared" si="1"/>
        <v>3355192.8048780509</v>
      </c>
      <c r="P47" s="7">
        <f t="shared" si="4"/>
        <v>137562905.00000009</v>
      </c>
      <c r="Q47" s="164">
        <f t="shared" si="9"/>
        <v>3591203.45</v>
      </c>
      <c r="R47" s="29">
        <f t="shared" si="2"/>
        <v>2429.1273315976005</v>
      </c>
      <c r="S47" s="5">
        <f>SUM($Q$7:$Q47)/T47+1</f>
        <v>3588817.0109756109</v>
      </c>
      <c r="T47" s="18">
        <v>41</v>
      </c>
      <c r="U47" s="138">
        <f>B47</f>
        <v>44354</v>
      </c>
      <c r="V47" s="137"/>
      <c r="W47" s="105">
        <v>-2233624</v>
      </c>
      <c r="X47" s="167">
        <f>AVERAGE(W47:W55)</f>
        <v>-2241940.222222222</v>
      </c>
      <c r="Y47" s="156">
        <f t="shared" si="10"/>
        <v>-2233624</v>
      </c>
      <c r="Z47" s="217">
        <f>AVERAGE(Y47:Y55)</f>
        <v>-2241939.888888889</v>
      </c>
      <c r="AD47" s="1"/>
      <c r="AE47" s="1"/>
    </row>
    <row r="48" spans="2:31">
      <c r="B48" s="116">
        <v>44355</v>
      </c>
      <c r="C48" s="14" t="str">
        <f t="shared" si="12"/>
        <v/>
      </c>
      <c r="D48" s="87"/>
      <c r="E48" s="87">
        <v>1</v>
      </c>
      <c r="F48" s="23">
        <v>-750571</v>
      </c>
      <c r="G48" s="26">
        <f>D48+E48+F48-E47-F47</f>
        <v>-947</v>
      </c>
      <c r="H48" s="132">
        <v>300</v>
      </c>
      <c r="I48" s="25">
        <v>1250</v>
      </c>
      <c r="J48" s="25">
        <v>200</v>
      </c>
      <c r="K48" s="170">
        <f t="shared" si="3"/>
        <v>1750</v>
      </c>
      <c r="L48" s="171">
        <v>-39</v>
      </c>
      <c r="M48" s="153"/>
      <c r="N48" s="149">
        <f t="shared" ref="N48:N54" si="13">L48+K48+G48+M48</f>
        <v>764</v>
      </c>
      <c r="O48" s="67">
        <f t="shared" ref="O48:O55" si="14">P48/T48</f>
        <v>3357312.6535714306</v>
      </c>
      <c r="P48" s="7">
        <f t="shared" si="4"/>
        <v>141007131.45000008</v>
      </c>
      <c r="Q48" s="164">
        <f t="shared" ref="Q48:Q53" si="15">Q47+N48</f>
        <v>3591967.45</v>
      </c>
      <c r="R48" s="29">
        <f t="shared" si="2"/>
        <v>2429.178119302087</v>
      </c>
      <c r="S48" s="5">
        <f>SUM($Q$7:$Q48)/T48+1</f>
        <v>3588892.0452380963</v>
      </c>
      <c r="T48" s="18">
        <v>42</v>
      </c>
      <c r="U48" s="138">
        <f>B47+8</f>
        <v>44362</v>
      </c>
      <c r="V48" s="137"/>
      <c r="W48" s="105">
        <v>-2235337</v>
      </c>
      <c r="X48" s="167"/>
      <c r="Y48" s="156">
        <f>Y47-K48-L48-2</f>
        <v>-2235337</v>
      </c>
      <c r="Z48" s="217"/>
      <c r="AD48" s="1"/>
      <c r="AE48" s="1"/>
    </row>
    <row r="49" spans="2:31">
      <c r="B49" s="116">
        <v>44356</v>
      </c>
      <c r="C49" s="14" t="str">
        <f t="shared" si="12"/>
        <v/>
      </c>
      <c r="D49" s="87">
        <f>-197+185</f>
        <v>-12</v>
      </c>
      <c r="E49" s="87">
        <v>0</v>
      </c>
      <c r="F49" s="23">
        <v>-737661</v>
      </c>
      <c r="G49" s="26">
        <f t="shared" ref="G49:G51" si="16">D49+E49+F49-E48-F48</f>
        <v>12897</v>
      </c>
      <c r="H49" s="132">
        <v>300</v>
      </c>
      <c r="I49" s="25">
        <v>10300</v>
      </c>
      <c r="J49" s="25">
        <v>200</v>
      </c>
      <c r="K49" s="170">
        <f t="shared" si="3"/>
        <v>10800</v>
      </c>
      <c r="L49" s="171">
        <v>4</v>
      </c>
      <c r="M49" s="153"/>
      <c r="N49" s="149">
        <f t="shared" si="13"/>
        <v>23701</v>
      </c>
      <c r="O49" s="67">
        <f t="shared" si="14"/>
        <v>3359885.0674418621</v>
      </c>
      <c r="P49" s="7">
        <f t="shared" si="4"/>
        <v>144475057.90000007</v>
      </c>
      <c r="Q49" s="164">
        <f>Q48+N49-1</f>
        <v>3615667.45</v>
      </c>
      <c r="R49" s="29">
        <f t="shared" si="2"/>
        <v>2429.5989280738468</v>
      </c>
      <c r="S49" s="5">
        <f>SUM($Q$7:$Q49)/T49</f>
        <v>3589513.7523255819</v>
      </c>
      <c r="T49" s="18">
        <v>43</v>
      </c>
      <c r="U49" s="138"/>
      <c r="V49" s="137"/>
      <c r="W49" s="105">
        <v>-2246140</v>
      </c>
      <c r="X49" s="167"/>
      <c r="Y49" s="156">
        <f t="shared" ref="Y49:Y55" si="17">Y48-K49-L49+1</f>
        <v>-2246140</v>
      </c>
      <c r="Z49" s="217"/>
      <c r="AD49" s="1"/>
      <c r="AE49" s="1"/>
    </row>
    <row r="50" spans="2:31">
      <c r="B50" s="116">
        <v>44357</v>
      </c>
      <c r="C50" s="14" t="str">
        <f t="shared" si="12"/>
        <v/>
      </c>
      <c r="D50" s="87"/>
      <c r="E50" s="87">
        <v>1</v>
      </c>
      <c r="F50" s="23">
        <v>-745715</v>
      </c>
      <c r="G50" s="26">
        <f t="shared" si="16"/>
        <v>-8053</v>
      </c>
      <c r="H50" s="132">
        <v>300</v>
      </c>
      <c r="I50" s="25">
        <v>-350</v>
      </c>
      <c r="J50" s="25">
        <v>200</v>
      </c>
      <c r="K50" s="170">
        <f t="shared" si="3"/>
        <v>150</v>
      </c>
      <c r="L50" s="171">
        <v>-13</v>
      </c>
      <c r="M50" s="153"/>
      <c r="N50" s="149">
        <f t="shared" si="13"/>
        <v>-7916</v>
      </c>
      <c r="O50" s="67">
        <f t="shared" si="14"/>
        <v>3362160.644318183</v>
      </c>
      <c r="P50" s="7">
        <f t="shared" si="4"/>
        <v>147935068.35000005</v>
      </c>
      <c r="Q50" s="164">
        <f t="shared" si="15"/>
        <v>3607751.45</v>
      </c>
      <c r="R50" s="29">
        <f t="shared" si="2"/>
        <v>2429.8801588283181</v>
      </c>
      <c r="S50" s="5">
        <f>SUM($Q$7:$Q50)/T50+1</f>
        <v>3589929.2454545456</v>
      </c>
      <c r="T50" s="18">
        <v>44</v>
      </c>
      <c r="U50" s="138"/>
      <c r="V50" s="137"/>
      <c r="W50" s="105">
        <v>-2246276</v>
      </c>
      <c r="X50" s="167"/>
      <c r="Y50" s="156">
        <f t="shared" si="17"/>
        <v>-2246276</v>
      </c>
      <c r="Z50" s="217"/>
      <c r="AD50" s="1"/>
      <c r="AE50" s="1"/>
    </row>
    <row r="51" spans="2:31">
      <c r="B51" s="116">
        <v>44358</v>
      </c>
      <c r="C51" s="14" t="str">
        <f t="shared" si="12"/>
        <v/>
      </c>
      <c r="D51" s="87"/>
      <c r="E51" s="87">
        <v>0</v>
      </c>
      <c r="F51" s="23">
        <v>-744810</v>
      </c>
      <c r="G51" s="26">
        <f t="shared" si="16"/>
        <v>904</v>
      </c>
      <c r="H51" s="132">
        <v>300</v>
      </c>
      <c r="I51" s="25">
        <v>5600</v>
      </c>
      <c r="J51" s="25">
        <v>200</v>
      </c>
      <c r="K51" s="170">
        <f t="shared" si="3"/>
        <v>6100</v>
      </c>
      <c r="L51" s="171">
        <v>24</v>
      </c>
      <c r="M51" s="153"/>
      <c r="N51" s="149">
        <f t="shared" si="13"/>
        <v>7028</v>
      </c>
      <c r="O51" s="67">
        <f t="shared" si="14"/>
        <v>3364491.2177777789</v>
      </c>
      <c r="P51" s="7">
        <f t="shared" si="4"/>
        <v>151402104.80000004</v>
      </c>
      <c r="Q51" s="164">
        <f>Q50+N51-2</f>
        <v>3614777.45</v>
      </c>
      <c r="R51" s="29">
        <f t="shared" si="2"/>
        <v>2430.2532472367184</v>
      </c>
      <c r="S51" s="5">
        <f>SUM($Q$7:$Q51)/T51</f>
        <v>3590480.45</v>
      </c>
      <c r="T51" s="18">
        <v>45</v>
      </c>
      <c r="U51" s="138"/>
      <c r="V51" s="137"/>
      <c r="W51" s="105">
        <v>-2252399</v>
      </c>
      <c r="X51" s="167"/>
      <c r="Y51" s="156">
        <f t="shared" si="17"/>
        <v>-2252399</v>
      </c>
      <c r="Z51" s="217"/>
      <c r="AD51" s="1"/>
      <c r="AE51" s="1"/>
    </row>
    <row r="52" spans="2:31">
      <c r="B52" s="116">
        <v>44359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>
        <f t="shared" si="3"/>
        <v>0</v>
      </c>
      <c r="L52" s="171"/>
      <c r="M52" s="153"/>
      <c r="N52" s="149"/>
      <c r="O52" s="67">
        <f t="shared" si="14"/>
        <v>3366720.4619565224</v>
      </c>
      <c r="P52" s="7">
        <f t="shared" si="4"/>
        <v>154869141.25000003</v>
      </c>
      <c r="Q52" s="164">
        <f t="shared" si="15"/>
        <v>3614777.45</v>
      </c>
      <c r="R52" s="29">
        <f t="shared" si="2"/>
        <v>2430.610761841448</v>
      </c>
      <c r="S52" s="5">
        <f>SUM($Q$7:$Q52)/T52</f>
        <v>3591008.6456521736</v>
      </c>
      <c r="T52" s="18">
        <v>46</v>
      </c>
      <c r="U52" s="138"/>
      <c r="V52" s="137"/>
      <c r="W52" s="105">
        <v>-2252399</v>
      </c>
      <c r="X52" s="167"/>
      <c r="Y52" s="156">
        <f t="shared" si="17"/>
        <v>-2252398</v>
      </c>
      <c r="Z52" s="217"/>
      <c r="AD52" s="1"/>
      <c r="AE52" s="1"/>
    </row>
    <row r="53" spans="2:31">
      <c r="B53" s="116">
        <v>44360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>
        <f t="shared" si="3"/>
        <v>0</v>
      </c>
      <c r="L53" s="171"/>
      <c r="M53" s="153"/>
      <c r="N53" s="149"/>
      <c r="O53" s="67">
        <f t="shared" si="14"/>
        <v>3368854.8446808513</v>
      </c>
      <c r="P53" s="7">
        <f t="shared" si="4"/>
        <v>158336177.70000002</v>
      </c>
      <c r="Q53" s="164">
        <f t="shared" si="15"/>
        <v>3614777.45</v>
      </c>
      <c r="R53" s="29">
        <f t="shared" si="2"/>
        <v>2430.9530630587424</v>
      </c>
      <c r="S53" s="5">
        <f>SUM($Q$7:$Q53)/T53</f>
        <v>3591514.3648936166</v>
      </c>
      <c r="T53" s="18">
        <v>47</v>
      </c>
      <c r="U53" s="138"/>
      <c r="V53" s="137"/>
      <c r="W53" s="105">
        <v>-2252399</v>
      </c>
      <c r="X53" s="167"/>
      <c r="Y53" s="156">
        <f t="shared" si="17"/>
        <v>-2252397</v>
      </c>
      <c r="Z53" s="217"/>
      <c r="AD53" s="1"/>
      <c r="AE53" s="1"/>
    </row>
    <row r="54" spans="2:31">
      <c r="B54" s="116">
        <v>44361</v>
      </c>
      <c r="C54" s="14" t="str">
        <f t="shared" si="12"/>
        <v/>
      </c>
      <c r="D54" s="87"/>
      <c r="E54" s="87">
        <v>0</v>
      </c>
      <c r="F54" s="23">
        <v>-740941</v>
      </c>
      <c r="G54" s="26">
        <f>D54+E54+F54-E51-F51</f>
        <v>3869</v>
      </c>
      <c r="H54" s="132">
        <v>300</v>
      </c>
      <c r="I54" s="25">
        <v>-800</v>
      </c>
      <c r="J54" s="25">
        <v>-800</v>
      </c>
      <c r="K54" s="170">
        <f t="shared" si="3"/>
        <v>-1300</v>
      </c>
      <c r="L54" s="171">
        <v>-47</v>
      </c>
      <c r="M54" s="153"/>
      <c r="N54" s="149">
        <f t="shared" si="13"/>
        <v>2522</v>
      </c>
      <c r="O54" s="67">
        <f t="shared" si="14"/>
        <v>3370952.7947916668</v>
      </c>
      <c r="P54" s="7">
        <f t="shared" si="4"/>
        <v>161805734.15000001</v>
      </c>
      <c r="Q54" s="164">
        <f>Q53+N54-2</f>
        <v>3617297.45</v>
      </c>
      <c r="R54" s="29">
        <f t="shared" si="2"/>
        <v>2431.3166368848183</v>
      </c>
      <c r="S54" s="5">
        <f>SUM($Q$7:$Q54)/T54</f>
        <v>3592051.5124999993</v>
      </c>
      <c r="T54" s="18">
        <v>48</v>
      </c>
      <c r="U54" s="138"/>
      <c r="V54" s="137"/>
      <c r="W54" s="105">
        <v>-2251049</v>
      </c>
      <c r="X54" s="167"/>
      <c r="Y54" s="156">
        <f t="shared" si="17"/>
        <v>-2251049</v>
      </c>
      <c r="Z54" s="217"/>
      <c r="AD54" s="1"/>
      <c r="AE54" s="1"/>
    </row>
    <row r="55" spans="2:31">
      <c r="B55" s="116">
        <v>44362</v>
      </c>
      <c r="C55" s="14" t="str">
        <f t="shared" si="12"/>
        <v/>
      </c>
      <c r="D55" s="87"/>
      <c r="E55" s="87">
        <v>0</v>
      </c>
      <c r="F55" s="23">
        <v>-742028</v>
      </c>
      <c r="G55" s="26">
        <f>D55+E55+F55-E54-F54</f>
        <v>-1087</v>
      </c>
      <c r="H55" s="132">
        <v>300</v>
      </c>
      <c r="I55" s="25">
        <v>-42700</v>
      </c>
      <c r="J55" s="25">
        <v>-800</v>
      </c>
      <c r="K55" s="170">
        <f t="shared" si="3"/>
        <v>-43200</v>
      </c>
      <c r="L55" s="171">
        <v>-9</v>
      </c>
      <c r="M55" s="153"/>
      <c r="N55" s="149">
        <f>L55+K55+G55+M55</f>
        <v>-44296</v>
      </c>
      <c r="O55" s="67">
        <f t="shared" si="14"/>
        <v>3372061.0938775507</v>
      </c>
      <c r="P55" s="7">
        <f t="shared" si="4"/>
        <v>165230993.59999999</v>
      </c>
      <c r="Q55" s="164">
        <f>Q54+N55-1</f>
        <v>3573000.45</v>
      </c>
      <c r="R55" s="29">
        <f t="shared" si="2"/>
        <v>2431.0534755458007</v>
      </c>
      <c r="S55" s="5">
        <f>SUM($Q$7:$Q55)/T55</f>
        <v>3591662.7153061214</v>
      </c>
      <c r="T55" s="18">
        <v>49</v>
      </c>
      <c r="U55" s="138"/>
      <c r="V55" s="137"/>
      <c r="W55" s="105">
        <v>-2207839</v>
      </c>
      <c r="X55" s="167"/>
      <c r="Y55" s="156">
        <f t="shared" si="17"/>
        <v>-2207839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'Apr 2021 '!Q48</f>
        <v>3467452.45</v>
      </c>
    </row>
    <row r="60" spans="2:31">
      <c r="D60" s="138" t="s">
        <v>4</v>
      </c>
      <c r="E60" s="139"/>
      <c r="F60" s="143"/>
      <c r="G60" s="91">
        <f>'Apr 2021 '!E48</f>
        <v>0</v>
      </c>
    </row>
    <row r="61" spans="2:31">
      <c r="D61" s="138" t="s">
        <v>60</v>
      </c>
      <c r="E61" s="144"/>
      <c r="F61" s="143"/>
      <c r="G61" s="91">
        <f>'Apr 2021 '!F48</f>
        <v>-734449</v>
      </c>
    </row>
    <row r="62" spans="2:31" ht="12.75" thickBot="1">
      <c r="D62" s="140" t="s">
        <v>46</v>
      </c>
      <c r="E62" s="145"/>
      <c r="F62" s="146"/>
      <c r="G62" s="158">
        <f>'Apr 2021 '!Y48</f>
        <v>-2094800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7FF0-EB44-4813-B906-47A5EC2E996E}">
  <sheetPr codeName="Sheet25">
    <pageSetUpPr fitToPage="1"/>
  </sheetPr>
  <dimension ref="B1:IU6550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150204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44363</v>
      </c>
      <c r="C7" s="196" t="str">
        <f t="shared" ref="C7:C48" si="0">IF(OR(WEEKDAY(B7)=1,WEEKDAY(B7)=7),"F","")</f>
        <v/>
      </c>
      <c r="D7" s="197">
        <f>-185+100</f>
        <v>-85</v>
      </c>
      <c r="E7" s="197">
        <v>0</v>
      </c>
      <c r="F7" s="198">
        <v>-523802</v>
      </c>
      <c r="G7" s="199">
        <f>D7+E7+F7-G53-G54</f>
        <v>218141</v>
      </c>
      <c r="H7" s="132">
        <v>2800</v>
      </c>
      <c r="I7" s="63">
        <v>-19300</v>
      </c>
      <c r="J7" s="63">
        <v>-500</v>
      </c>
      <c r="K7" s="168">
        <f>+H7+I7+J7</f>
        <v>-17000</v>
      </c>
      <c r="L7" s="169">
        <v>-24</v>
      </c>
      <c r="M7" s="203"/>
      <c r="N7" s="204">
        <f>L7+K7+G7+M7</f>
        <v>201117</v>
      </c>
      <c r="O7" s="205">
        <f t="shared" ref="O7:O48" si="1">P7/T7</f>
        <v>3624120.45</v>
      </c>
      <c r="P7" s="206">
        <f>(+$Q7-$Q$3)</f>
        <v>3624120.45</v>
      </c>
      <c r="Q7" s="207">
        <f>G52+N7+185+22</f>
        <v>3774324.45</v>
      </c>
      <c r="R7" s="208">
        <f t="shared" ref="R7:R48" si="2">$S7/$Q$3*100</f>
        <v>2512.7988935048334</v>
      </c>
      <c r="S7" s="209">
        <f>$Q7</f>
        <v>3774324.45</v>
      </c>
      <c r="T7" s="210">
        <v>1</v>
      </c>
      <c r="U7" s="211">
        <f>B7</f>
        <v>44363</v>
      </c>
      <c r="V7" s="212">
        <v>1937.2</v>
      </c>
      <c r="W7" s="213">
        <v>-2190999</v>
      </c>
      <c r="X7" s="214">
        <f>AVERAGE(W7:W11)</f>
        <v>-2172137.7999999998</v>
      </c>
      <c r="Y7" s="215">
        <f>G55-K7-160</f>
        <v>-2190999</v>
      </c>
      <c r="Z7" s="216">
        <f>AVERAGE(Y7:Y13)</f>
        <v>-2164493.8571428573</v>
      </c>
      <c r="AA7" s="92"/>
    </row>
    <row r="8" spans="2:255">
      <c r="B8" s="116">
        <v>44364</v>
      </c>
      <c r="C8" s="14"/>
      <c r="D8" s="128"/>
      <c r="E8" s="128">
        <v>0</v>
      </c>
      <c r="F8" s="162">
        <v>-517250</v>
      </c>
      <c r="G8" s="26">
        <f>D8+E8+F8-E7-F7</f>
        <v>6552</v>
      </c>
      <c r="H8" s="132">
        <v>300</v>
      </c>
      <c r="I8" s="63">
        <v>-9300</v>
      </c>
      <c r="J8" s="63">
        <v>-500</v>
      </c>
      <c r="K8" s="170">
        <f t="shared" ref="K8:K48" si="3">+H8+I8+J8</f>
        <v>-9500</v>
      </c>
      <c r="L8" s="171">
        <v>25</v>
      </c>
      <c r="M8" s="153"/>
      <c r="N8" s="149">
        <f>L8+K8+G8+M8</f>
        <v>-2923</v>
      </c>
      <c r="O8" s="67">
        <f t="shared" si="1"/>
        <v>1810598.7250000001</v>
      </c>
      <c r="P8" s="163">
        <f>(IF($Q8&lt;0,-$Q$3+P6,($Q8-$Q$3)+P6))</f>
        <v>3621197.45</v>
      </c>
      <c r="Q8" s="164">
        <f>Q7+N8</f>
        <v>3771401.45</v>
      </c>
      <c r="R8" s="29">
        <f t="shared" si="2"/>
        <v>2511.8258834651542</v>
      </c>
      <c r="S8" s="165">
        <f>SUM($Q$7:$Q8)/T8</f>
        <v>3772862.95</v>
      </c>
      <c r="T8" s="166">
        <v>2</v>
      </c>
      <c r="U8" s="138">
        <f>B7+6</f>
        <v>44369</v>
      </c>
      <c r="V8" s="131"/>
      <c r="W8" s="105">
        <v>-2181524</v>
      </c>
      <c r="X8" s="167"/>
      <c r="Y8" s="156">
        <f>Y7-K8-L8</f>
        <v>-2181524</v>
      </c>
      <c r="Z8" s="217"/>
      <c r="AA8" s="92"/>
    </row>
    <row r="9" spans="2:255">
      <c r="B9" s="116">
        <v>44365</v>
      </c>
      <c r="C9" s="14" t="str">
        <f t="shared" si="0"/>
        <v/>
      </c>
      <c r="D9" s="87"/>
      <c r="E9" s="87">
        <v>0</v>
      </c>
      <c r="F9" s="23">
        <v>-530685</v>
      </c>
      <c r="G9" s="26">
        <f>D9+E9+F9-E8-F8</f>
        <v>-13435</v>
      </c>
      <c r="H9" s="132">
        <v>-18500</v>
      </c>
      <c r="I9" s="63">
        <v>200</v>
      </c>
      <c r="J9" s="63">
        <v>-500</v>
      </c>
      <c r="K9" s="170">
        <f t="shared" si="3"/>
        <v>-18800</v>
      </c>
      <c r="L9" s="171">
        <v>-4</v>
      </c>
      <c r="M9" s="153"/>
      <c r="N9" s="149">
        <f>L9+K9+G9+M9</f>
        <v>-32239</v>
      </c>
      <c r="O9" s="67">
        <f t="shared" si="1"/>
        <v>2404359.6333333333</v>
      </c>
      <c r="P9" s="7">
        <f>(IF($Q9&lt;0,-$Q$3+P7,($Q9-$Q$3)+P7))</f>
        <v>7213078.9000000004</v>
      </c>
      <c r="Q9" s="164">
        <f>Q8+N9</f>
        <v>3739162.45</v>
      </c>
      <c r="R9" s="29">
        <f t="shared" si="2"/>
        <v>2504.3477204335441</v>
      </c>
      <c r="S9" s="5">
        <f>SUM($Q$7:$Q9)/T9+1</f>
        <v>3761630.4500000007</v>
      </c>
      <c r="T9" s="17">
        <v>3</v>
      </c>
      <c r="U9" s="4"/>
      <c r="V9" s="131"/>
      <c r="W9" s="105">
        <v>-2162722</v>
      </c>
      <c r="X9" s="167"/>
      <c r="Y9" s="156">
        <f>Y8-K9-L9-2</f>
        <v>-2162722</v>
      </c>
      <c r="Z9" s="217"/>
      <c r="AA9" s="92"/>
    </row>
    <row r="10" spans="2:255">
      <c r="B10" s="116">
        <v>44366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2700510.0875000004</v>
      </c>
      <c r="P10" s="7">
        <f t="shared" ref="P10:P48" si="4">(IF($Q10&lt;0,-$Q$3+P9,($Q10-$Q$3)+P9))</f>
        <v>10802040.350000001</v>
      </c>
      <c r="Q10" s="164">
        <f>Q9+N10+3</f>
        <v>3739165.45</v>
      </c>
      <c r="R10" s="29">
        <f t="shared" si="2"/>
        <v>2500.6074738355837</v>
      </c>
      <c r="S10" s="5">
        <f>SUM($Q$7:$Q10)/T10-1</f>
        <v>3756012.45</v>
      </c>
      <c r="T10" s="17">
        <v>4</v>
      </c>
      <c r="U10" s="27"/>
      <c r="V10" s="133"/>
      <c r="W10" s="105">
        <v>-2162722</v>
      </c>
      <c r="X10" s="167"/>
      <c r="Y10" s="156">
        <f>Y9-K10-L10</f>
        <v>-2162722</v>
      </c>
      <c r="Z10" s="217"/>
      <c r="AA10" s="92"/>
    </row>
    <row r="11" spans="2:255">
      <c r="B11" s="116">
        <v>44367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2878200.3600000003</v>
      </c>
      <c r="P11" s="7">
        <f t="shared" si="4"/>
        <v>14391001.800000001</v>
      </c>
      <c r="Q11" s="164">
        <f t="shared" ref="Q11:Q18" si="5">Q10+N11</f>
        <v>3739165.45</v>
      </c>
      <c r="R11" s="29">
        <f t="shared" si="2"/>
        <v>2498.3641247902851</v>
      </c>
      <c r="S11" s="5">
        <f>SUM($Q$7:$Q11)/T11-1</f>
        <v>3752642.85</v>
      </c>
      <c r="T11" s="17">
        <v>5</v>
      </c>
      <c r="U11" s="27"/>
      <c r="V11" s="134"/>
      <c r="W11" s="105">
        <v>-2162722</v>
      </c>
      <c r="X11" s="167"/>
      <c r="Y11" s="156">
        <f t="shared" ref="Y11:Y39" si="6">Y10-K11-L11</f>
        <v>-2162722</v>
      </c>
      <c r="Z11" s="217"/>
      <c r="AA11" s="92"/>
    </row>
    <row r="12" spans="2:255">
      <c r="B12" s="116">
        <v>44368</v>
      </c>
      <c r="C12" s="14" t="str">
        <f t="shared" si="0"/>
        <v/>
      </c>
      <c r="D12" s="87"/>
      <c r="E12" s="161">
        <v>1</v>
      </c>
      <c r="F12" s="23">
        <v>-555565</v>
      </c>
      <c r="G12" s="26">
        <f>D12+E12+F12-E9-F9</f>
        <v>-24879</v>
      </c>
      <c r="H12" s="132">
        <v>-15700</v>
      </c>
      <c r="I12" s="63">
        <v>1400</v>
      </c>
      <c r="J12" s="63">
        <v>-400</v>
      </c>
      <c r="K12" s="170">
        <f t="shared" si="3"/>
        <v>-14700</v>
      </c>
      <c r="L12" s="171">
        <v>-41</v>
      </c>
      <c r="M12" s="153"/>
      <c r="N12" s="149">
        <f t="shared" ref="N12:N48" si="7">L12+K12+G12+M12</f>
        <v>-39620</v>
      </c>
      <c r="O12" s="67">
        <f t="shared" si="1"/>
        <v>2990057.0416666665</v>
      </c>
      <c r="P12" s="7">
        <f t="shared" si="4"/>
        <v>17940342.25</v>
      </c>
      <c r="Q12" s="164">
        <f>Q11+N12-1</f>
        <v>3699544.45</v>
      </c>
      <c r="R12" s="29">
        <f t="shared" si="2"/>
        <v>2492.4775305584403</v>
      </c>
      <c r="S12" s="5">
        <f>SUM($Q$7:$Q12)/T12+7</f>
        <v>3743800.9499999997</v>
      </c>
      <c r="T12" s="17">
        <v>6</v>
      </c>
      <c r="U12" s="138">
        <f>B13</f>
        <v>44369</v>
      </c>
      <c r="V12" s="131">
        <v>2023</v>
      </c>
      <c r="W12" s="105">
        <v>-2147980</v>
      </c>
      <c r="X12" s="167">
        <f>AVERAGE(W12:W20)</f>
        <v>-2157313.6666666665</v>
      </c>
      <c r="Y12" s="156">
        <f>Y11-K12-L12+1</f>
        <v>-2147980</v>
      </c>
      <c r="Z12" s="217">
        <f>AVERAGE(Y12:Y20)</f>
        <v>-2157313.6666666665</v>
      </c>
      <c r="AA12" s="92"/>
    </row>
    <row r="13" spans="2:255">
      <c r="B13" s="116">
        <v>44369</v>
      </c>
      <c r="C13" s="14"/>
      <c r="D13" s="87"/>
      <c r="E13" s="87">
        <v>0</v>
      </c>
      <c r="F13" s="23">
        <v>-598618</v>
      </c>
      <c r="G13" s="26">
        <f>D13+E13+F13-E12-F12</f>
        <v>-43054</v>
      </c>
      <c r="H13" s="132">
        <v>-200</v>
      </c>
      <c r="I13" s="63">
        <v>-4600</v>
      </c>
      <c r="J13" s="63">
        <v>-400</v>
      </c>
      <c r="K13" s="170">
        <f t="shared" si="3"/>
        <v>-5200</v>
      </c>
      <c r="L13" s="171">
        <v>7</v>
      </c>
      <c r="M13" s="153"/>
      <c r="N13" s="149">
        <f t="shared" si="7"/>
        <v>-48247</v>
      </c>
      <c r="O13" s="67">
        <f t="shared" si="1"/>
        <v>3063062.2428571428</v>
      </c>
      <c r="P13" s="7">
        <f>(IF($Q13&lt;0,-$Q$3+P12,($Q13-$Q$3)+P12))</f>
        <v>21441435.699999999</v>
      </c>
      <c r="Q13" s="164">
        <f>Q12+N13</f>
        <v>3651297.45</v>
      </c>
      <c r="R13" s="29">
        <f t="shared" si="2"/>
        <v>2483.6796385487164</v>
      </c>
      <c r="S13" s="5">
        <f>SUM($Q$7:$Q13)/T13+6</f>
        <v>3730586.1642857143</v>
      </c>
      <c r="T13" s="17">
        <v>7</v>
      </c>
      <c r="U13" s="138">
        <f>B14+6</f>
        <v>44376</v>
      </c>
      <c r="V13" s="249"/>
      <c r="W13" s="105">
        <v>-2142788</v>
      </c>
      <c r="X13" s="167"/>
      <c r="Y13" s="156">
        <f>Y12-K13-L13-1</f>
        <v>-2142788</v>
      </c>
      <c r="Z13" s="217"/>
      <c r="AA13" s="92"/>
      <c r="AB13" s="92"/>
    </row>
    <row r="14" spans="2:255">
      <c r="B14" s="116">
        <v>44370</v>
      </c>
      <c r="C14" s="14"/>
      <c r="D14" s="87">
        <f>-100+91</f>
        <v>-9</v>
      </c>
      <c r="E14" s="87">
        <v>17</v>
      </c>
      <c r="F14" s="23">
        <v>-614040</v>
      </c>
      <c r="G14" s="26">
        <f>D14+E14+F14-E13-F13</f>
        <v>-15414</v>
      </c>
      <c r="H14" s="132">
        <v>-1200</v>
      </c>
      <c r="I14" s="63">
        <v>5300</v>
      </c>
      <c r="J14" s="63">
        <v>-400</v>
      </c>
      <c r="K14" s="170">
        <f t="shared" si="3"/>
        <v>3700</v>
      </c>
      <c r="L14" s="171">
        <v>-11</v>
      </c>
      <c r="M14" s="154"/>
      <c r="N14" s="149">
        <f>L14+K14+G14+M14</f>
        <v>-11725</v>
      </c>
      <c r="O14" s="67">
        <f t="shared" si="1"/>
        <v>3116333.7687499998</v>
      </c>
      <c r="P14" s="7">
        <f t="shared" si="4"/>
        <v>24930670.149999999</v>
      </c>
      <c r="Q14" s="164">
        <f>Q13+N14-134</f>
        <v>3639438.45</v>
      </c>
      <c r="R14" s="29">
        <f t="shared" si="2"/>
        <v>2476.0901507283425</v>
      </c>
      <c r="S14" s="5">
        <f>SUM($Q$7:$Q14)/T14-1</f>
        <v>3719186.4499999997</v>
      </c>
      <c r="T14" s="17">
        <v>8</v>
      </c>
      <c r="U14" s="4"/>
      <c r="V14" s="4"/>
      <c r="W14" s="105">
        <v>-2146475</v>
      </c>
      <c r="X14" s="167"/>
      <c r="Y14" s="156">
        <f>Y13-K14-L14+2</f>
        <v>-2146475</v>
      </c>
      <c r="Z14" s="217"/>
      <c r="AA14" s="92"/>
    </row>
    <row r="15" spans="2:255">
      <c r="B15" s="116">
        <v>44371</v>
      </c>
      <c r="C15" s="14" t="str">
        <f t="shared" si="0"/>
        <v/>
      </c>
      <c r="D15" s="87">
        <f>109829+520</f>
        <v>110349</v>
      </c>
      <c r="E15" s="87">
        <v>0</v>
      </c>
      <c r="F15" s="23">
        <v>-675475</v>
      </c>
      <c r="G15" s="26">
        <f>D15+E15+F15-E14-F14</f>
        <v>48897</v>
      </c>
      <c r="H15" s="132">
        <v>300</v>
      </c>
      <c r="I15" s="63">
        <v>1800</v>
      </c>
      <c r="J15" s="63">
        <v>-500</v>
      </c>
      <c r="K15" s="170">
        <f t="shared" si="3"/>
        <v>1600</v>
      </c>
      <c r="L15" s="172">
        <v>-8</v>
      </c>
      <c r="M15" s="153"/>
      <c r="N15" s="149">
        <f>L15+K15+G15+M15</f>
        <v>50489</v>
      </c>
      <c r="O15" s="67">
        <f t="shared" si="1"/>
        <v>3163386.6222222219</v>
      </c>
      <c r="P15" s="7">
        <f t="shared" si="4"/>
        <v>28470479.599999998</v>
      </c>
      <c r="Q15" s="164">
        <f>Q14+N15+86</f>
        <v>3690013.45</v>
      </c>
      <c r="R15" s="29">
        <f t="shared" si="2"/>
        <v>2473.9360432774388</v>
      </c>
      <c r="S15" s="5">
        <f>SUM($Q$7:$Q15)/T15+5</f>
        <v>3715950.8944444442</v>
      </c>
      <c r="T15" s="17">
        <v>9</v>
      </c>
      <c r="U15" s="4"/>
      <c r="V15" s="4"/>
      <c r="W15" s="105">
        <v>-2148152</v>
      </c>
      <c r="X15" s="167"/>
      <c r="Y15" s="156">
        <f>Y14-K15-L15-84-1</f>
        <v>-2148152</v>
      </c>
      <c r="Z15" s="217"/>
      <c r="AA15" s="92"/>
      <c r="AB15" s="92"/>
    </row>
    <row r="16" spans="2:255" s="69" customFormat="1">
      <c r="B16" s="116">
        <v>44372</v>
      </c>
      <c r="C16" s="14"/>
      <c r="D16" s="129"/>
      <c r="E16" s="87">
        <v>2</v>
      </c>
      <c r="F16" s="23">
        <v>-684279</v>
      </c>
      <c r="G16" s="26">
        <f>D16+E16+F16-E15-F15</f>
        <v>-8802</v>
      </c>
      <c r="H16" s="132">
        <v>300</v>
      </c>
      <c r="I16" s="63">
        <v>10700</v>
      </c>
      <c r="J16" s="63">
        <v>-500</v>
      </c>
      <c r="K16" s="170">
        <f t="shared" si="3"/>
        <v>10500</v>
      </c>
      <c r="L16" s="172">
        <v>24</v>
      </c>
      <c r="M16" s="153"/>
      <c r="N16" s="152">
        <f>L16+K16+G16+M16</f>
        <v>1722</v>
      </c>
      <c r="O16" s="67">
        <f t="shared" si="1"/>
        <v>3201201.0049999999</v>
      </c>
      <c r="P16" s="70">
        <f t="shared" si="4"/>
        <v>32012010.049999997</v>
      </c>
      <c r="Q16" s="164">
        <f>Q15+N16-1</f>
        <v>3691734.45</v>
      </c>
      <c r="R16" s="71">
        <f t="shared" si="2"/>
        <v>2472.3208103645707</v>
      </c>
      <c r="S16" s="72">
        <f>SUM($Q$7:$Q16)/T16</f>
        <v>3713524.75</v>
      </c>
      <c r="T16" s="73">
        <v>10</v>
      </c>
      <c r="U16" s="218"/>
      <c r="V16" s="133"/>
      <c r="W16" s="105">
        <v>-2158676</v>
      </c>
      <c r="X16" s="167"/>
      <c r="Y16" s="156">
        <f>Y15-K16-L16</f>
        <v>-2158676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44373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3232140.0454545454</v>
      </c>
      <c r="P17" s="7">
        <f t="shared" si="4"/>
        <v>35553540.5</v>
      </c>
      <c r="Q17" s="164">
        <f t="shared" si="5"/>
        <v>3691734.45</v>
      </c>
      <c r="R17" s="29">
        <f t="shared" si="2"/>
        <v>2471.0019797318078</v>
      </c>
      <c r="S17" s="5">
        <f>SUM($Q$7:$Q17)/T17</f>
        <v>3711543.8136363639</v>
      </c>
      <c r="T17" s="18">
        <v>11</v>
      </c>
      <c r="U17" s="27"/>
      <c r="V17" s="136"/>
      <c r="W17" s="105">
        <v>-2158676</v>
      </c>
      <c r="X17" s="167"/>
      <c r="Y17" s="156">
        <f t="shared" si="6"/>
        <v>-2158676</v>
      </c>
      <c r="Z17" s="217"/>
      <c r="AA17" s="92"/>
      <c r="AC17" s="92"/>
    </row>
    <row r="18" spans="2:31">
      <c r="B18" s="116">
        <v>44374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3257922.5791666671</v>
      </c>
      <c r="P18" s="7">
        <f t="shared" si="4"/>
        <v>39095070.950000003</v>
      </c>
      <c r="Q18" s="164">
        <f t="shared" si="5"/>
        <v>3691734.45</v>
      </c>
      <c r="R18" s="29">
        <f t="shared" si="2"/>
        <v>2469.9022884432729</v>
      </c>
      <c r="S18" s="5">
        <f>SUM($Q$7:$Q18)/T18-1</f>
        <v>3709892.0333333337</v>
      </c>
      <c r="T18" s="18">
        <v>12</v>
      </c>
      <c r="U18" s="27"/>
      <c r="V18" s="136"/>
      <c r="W18" s="105">
        <v>-2158676</v>
      </c>
      <c r="X18" s="167"/>
      <c r="Y18" s="156">
        <f t="shared" si="6"/>
        <v>-2158676</v>
      </c>
      <c r="Z18" s="217"/>
      <c r="AA18" s="92"/>
    </row>
    <row r="19" spans="2:31">
      <c r="B19" s="116">
        <v>44375</v>
      </c>
      <c r="C19" s="14" t="str">
        <f t="shared" si="0"/>
        <v/>
      </c>
      <c r="D19" s="87"/>
      <c r="E19" s="87">
        <v>0</v>
      </c>
      <c r="F19" s="23">
        <v>-733311</v>
      </c>
      <c r="G19" s="26">
        <f>D19+E19+F19-E16-F16</f>
        <v>-49034</v>
      </c>
      <c r="H19" s="132">
        <v>300</v>
      </c>
      <c r="I19" s="63">
        <v>9900</v>
      </c>
      <c r="J19" s="63">
        <v>-900</v>
      </c>
      <c r="K19" s="170">
        <f t="shared" si="3"/>
        <v>9300</v>
      </c>
      <c r="L19" s="171">
        <v>20</v>
      </c>
      <c r="M19" s="153"/>
      <c r="N19" s="149">
        <f t="shared" si="7"/>
        <v>-39714</v>
      </c>
      <c r="O19" s="67">
        <f t="shared" si="1"/>
        <v>3276683.8000000003</v>
      </c>
      <c r="P19" s="7">
        <f t="shared" si="4"/>
        <v>42596889.400000006</v>
      </c>
      <c r="Q19" s="164">
        <f>Q18+N19+2</f>
        <v>3652022.45</v>
      </c>
      <c r="R19" s="29">
        <f t="shared" si="2"/>
        <v>2466.9385968416291</v>
      </c>
      <c r="S19" s="5">
        <f>SUM($Q$7:$Q19)/T19-1</f>
        <v>3705440.4500000007</v>
      </c>
      <c r="T19" s="18">
        <v>13</v>
      </c>
      <c r="U19" s="138">
        <f>B19</f>
        <v>44375</v>
      </c>
      <c r="V19" s="131">
        <v>2000.9</v>
      </c>
      <c r="W19" s="105">
        <v>-2167998</v>
      </c>
      <c r="X19" s="167">
        <f>AVERAGE(W19:W27)</f>
        <v>-2203730.888888889</v>
      </c>
      <c r="Y19" s="156">
        <f>Y18-K19-L19-2</f>
        <v>-2167998</v>
      </c>
      <c r="Z19" s="217">
        <f>AVERAGE(Y20:Y27)</f>
        <v>-2208197.5</v>
      </c>
      <c r="AA19" s="92"/>
    </row>
    <row r="20" spans="2:31">
      <c r="B20" s="116">
        <v>44376</v>
      </c>
      <c r="C20" s="14"/>
      <c r="D20" s="87"/>
      <c r="E20" s="87">
        <v>0</v>
      </c>
      <c r="F20" s="23">
        <v>-759380</v>
      </c>
      <c r="G20" s="26">
        <f>D20+E20+F20-E19-F19</f>
        <v>-26069</v>
      </c>
      <c r="H20" s="132">
        <v>300</v>
      </c>
      <c r="I20" s="63">
        <v>19000</v>
      </c>
      <c r="J20" s="63">
        <v>-900</v>
      </c>
      <c r="K20" s="170">
        <f t="shared" si="3"/>
        <v>18400</v>
      </c>
      <c r="L20" s="171">
        <v>3</v>
      </c>
      <c r="M20" s="153"/>
      <c r="N20" s="149">
        <f t="shared" si="7"/>
        <v>-7666</v>
      </c>
      <c r="O20" s="67">
        <f t="shared" si="1"/>
        <v>3292217.4178571436</v>
      </c>
      <c r="P20" s="7">
        <f t="shared" si="4"/>
        <v>46091043.850000009</v>
      </c>
      <c r="Q20" s="164">
        <f>Q19+N20+2</f>
        <v>3644358.45</v>
      </c>
      <c r="R20" s="29">
        <f t="shared" si="2"/>
        <v>2464.0338330346926</v>
      </c>
      <c r="S20" s="5">
        <f>SUM($Q$7:$Q20)/T20-1</f>
        <v>3701077.3785714293</v>
      </c>
      <c r="T20" s="18">
        <v>14</v>
      </c>
      <c r="U20" s="138">
        <f>B19+8</f>
        <v>44383</v>
      </c>
      <c r="V20" s="131"/>
      <c r="W20" s="105">
        <v>-2186402</v>
      </c>
      <c r="X20" s="167"/>
      <c r="Y20" s="156">
        <f>Y19-K20-L20-1</f>
        <v>-2186402</v>
      </c>
      <c r="Z20" s="217"/>
      <c r="AA20" s="92"/>
      <c r="AB20" s="92"/>
    </row>
    <row r="21" spans="2:31">
      <c r="B21" s="116">
        <v>44377</v>
      </c>
      <c r="C21" s="14" t="str">
        <f t="shared" si="0"/>
        <v/>
      </c>
      <c r="D21" s="87">
        <f>-91+85</f>
        <v>-6</v>
      </c>
      <c r="E21" s="87">
        <v>0</v>
      </c>
      <c r="F21" s="23">
        <v>-790009</v>
      </c>
      <c r="G21" s="26">
        <f>D21+E21+F21-E20-F20</f>
        <v>-30635</v>
      </c>
      <c r="H21" s="132">
        <v>300</v>
      </c>
      <c r="I21" s="63">
        <v>-44000</v>
      </c>
      <c r="J21" s="63">
        <v>-1000</v>
      </c>
      <c r="K21" s="170">
        <f t="shared" si="3"/>
        <v>-44700</v>
      </c>
      <c r="L21" s="171">
        <v>11</v>
      </c>
      <c r="M21" s="153"/>
      <c r="N21" s="149">
        <f>L21+K21+G21+M21</f>
        <v>-75324</v>
      </c>
      <c r="O21" s="67">
        <f t="shared" si="1"/>
        <v>3300658.2200000007</v>
      </c>
      <c r="P21" s="7">
        <f t="shared" si="4"/>
        <v>49509873.300000012</v>
      </c>
      <c r="Q21" s="164">
        <f>Q20+N21-1</f>
        <v>3569033.45</v>
      </c>
      <c r="R21" s="29">
        <f t="shared" si="2"/>
        <v>2458.1731400850404</v>
      </c>
      <c r="S21" s="5">
        <f>SUM($Q$7:$Q21)/T21-1</f>
        <v>3692274.3833333342</v>
      </c>
      <c r="T21" s="18">
        <v>15</v>
      </c>
      <c r="U21" s="4"/>
      <c r="V21" s="131"/>
      <c r="W21" s="105">
        <v>-2141713</v>
      </c>
      <c r="X21" s="167"/>
      <c r="Y21" s="156">
        <f>Y20-K21-L21</f>
        <v>-2141713</v>
      </c>
      <c r="Z21" s="217"/>
      <c r="AA21" s="92"/>
    </row>
    <row r="22" spans="2:31">
      <c r="B22" s="116">
        <v>44378</v>
      </c>
      <c r="C22" s="14" t="str">
        <f t="shared" si="0"/>
        <v/>
      </c>
      <c r="D22" s="87">
        <f>-93+3</f>
        <v>-90</v>
      </c>
      <c r="E22" s="87">
        <v>1</v>
      </c>
      <c r="F22" s="23">
        <v>-773596</v>
      </c>
      <c r="G22" s="26">
        <f>D22+E22+F22-E21-F21</f>
        <v>16324</v>
      </c>
      <c r="H22" s="132">
        <v>6900</v>
      </c>
      <c r="I22" s="63">
        <v>71500</v>
      </c>
      <c r="J22" s="63">
        <v>-1000</v>
      </c>
      <c r="K22" s="170">
        <f t="shared" si="3"/>
        <v>77400</v>
      </c>
      <c r="L22" s="171">
        <v>16</v>
      </c>
      <c r="M22" s="153"/>
      <c r="N22" s="149">
        <f>L22+K22+G22+M22</f>
        <v>93740</v>
      </c>
      <c r="O22" s="67">
        <f t="shared" si="1"/>
        <v>3313902.6093750009</v>
      </c>
      <c r="P22" s="7">
        <f t="shared" si="4"/>
        <v>53022441.750000015</v>
      </c>
      <c r="Q22" s="164">
        <f>Q21+N22-1</f>
        <v>3662772.45</v>
      </c>
      <c r="R22" s="29">
        <f t="shared" si="2"/>
        <v>2456.9481838033612</v>
      </c>
      <c r="S22" s="5">
        <f>SUM($Q$7:$Q22)/T22+3</f>
        <v>3690434.4500000011</v>
      </c>
      <c r="T22" s="18">
        <v>16</v>
      </c>
      <c r="U22" s="4"/>
      <c r="V22" s="131"/>
      <c r="W22" s="105">
        <v>-2219128</v>
      </c>
      <c r="X22" s="167"/>
      <c r="Y22" s="156">
        <f>Y21-K22-L22+1</f>
        <v>-2219128</v>
      </c>
      <c r="Z22" s="217"/>
      <c r="AA22" s="92"/>
    </row>
    <row r="23" spans="2:31">
      <c r="B23" s="116">
        <v>44379</v>
      </c>
      <c r="C23" s="14"/>
      <c r="D23" s="87"/>
      <c r="E23" s="87">
        <v>10</v>
      </c>
      <c r="F23" s="23">
        <v>-786831</v>
      </c>
      <c r="G23" s="26">
        <f>D23+E23+F23-E22-F22</f>
        <v>-13226</v>
      </c>
      <c r="H23" s="132">
        <v>-8900</v>
      </c>
      <c r="I23" s="63">
        <v>13500</v>
      </c>
      <c r="J23" s="63">
        <v>-1000</v>
      </c>
      <c r="K23" s="170">
        <f t="shared" si="3"/>
        <v>3600</v>
      </c>
      <c r="L23" s="171">
        <v>23</v>
      </c>
      <c r="M23" s="153"/>
      <c r="N23" s="149">
        <f>L23+K23+G23+M23</f>
        <v>-9603</v>
      </c>
      <c r="O23" s="67">
        <f t="shared" si="1"/>
        <v>3325024.011764707</v>
      </c>
      <c r="P23" s="7">
        <f t="shared" si="4"/>
        <v>56525408.200000018</v>
      </c>
      <c r="Q23" s="164">
        <f>Q22+N23+1</f>
        <v>3653170.45</v>
      </c>
      <c r="R23" s="29">
        <f t="shared" si="2"/>
        <v>2455.4869553877325</v>
      </c>
      <c r="S23" s="5">
        <f>SUM($Q$7:$Q23)/T23</f>
        <v>3688239.6264705895</v>
      </c>
      <c r="T23" s="18">
        <v>17</v>
      </c>
      <c r="U23" s="27"/>
      <c r="V23" s="135"/>
      <c r="W23" s="105">
        <v>-2222751</v>
      </c>
      <c r="X23" s="167"/>
      <c r="Y23" s="156">
        <f>Y22-K23-L23</f>
        <v>-2222751</v>
      </c>
      <c r="Z23" s="217"/>
      <c r="AA23" s="92"/>
    </row>
    <row r="24" spans="2:31">
      <c r="B24" s="116">
        <v>44380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3334909.6472222232</v>
      </c>
      <c r="P24" s="7">
        <f t="shared" si="4"/>
        <v>60028373.650000021</v>
      </c>
      <c r="Q24" s="164">
        <f t="shared" ref="Q24:Q25" si="8">Q23+N24-1</f>
        <v>3653169.45</v>
      </c>
      <c r="R24" s="29">
        <f t="shared" si="2"/>
        <v>2454.1898240614996</v>
      </c>
      <c r="S24" s="5">
        <f>SUM($Q$7:$Q24)/T24</f>
        <v>3686291.2833333346</v>
      </c>
      <c r="T24" s="18">
        <v>18</v>
      </c>
      <c r="U24" s="4"/>
      <c r="V24" s="135"/>
      <c r="W24" s="105">
        <v>-2222751</v>
      </c>
      <c r="X24" s="167"/>
      <c r="Y24" s="156">
        <f t="shared" si="6"/>
        <v>-2222751</v>
      </c>
      <c r="Z24" s="217"/>
      <c r="AA24" s="92"/>
      <c r="AD24" s="1"/>
      <c r="AE24" s="1"/>
    </row>
    <row r="25" spans="2:31">
      <c r="B25" s="116">
        <v>44381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3343754.6368421065</v>
      </c>
      <c r="P25" s="7">
        <f t="shared" si="4"/>
        <v>63531338.100000024</v>
      </c>
      <c r="Q25" s="164">
        <f t="shared" si="8"/>
        <v>3653168.45</v>
      </c>
      <c r="R25" s="29">
        <f t="shared" si="2"/>
        <v>2453.0285320735738</v>
      </c>
      <c r="S25" s="5">
        <f>SUM($Q$7:$Q25)/T25-1</f>
        <v>3684546.9763157908</v>
      </c>
      <c r="T25" s="18">
        <v>19</v>
      </c>
      <c r="U25" s="4"/>
      <c r="V25" s="131"/>
      <c r="W25" s="105">
        <v>-2222751</v>
      </c>
      <c r="X25" s="167"/>
      <c r="Y25" s="156">
        <f t="shared" si="6"/>
        <v>-2222751</v>
      </c>
      <c r="Z25" s="217"/>
      <c r="AA25" s="92"/>
      <c r="AD25" s="1"/>
      <c r="AE25" s="1"/>
    </row>
    <row r="26" spans="2:31">
      <c r="B26" s="116">
        <v>44382</v>
      </c>
      <c r="C26" s="14"/>
      <c r="D26" s="87"/>
      <c r="E26" s="87">
        <v>0</v>
      </c>
      <c r="F26" s="23">
        <v>-817140</v>
      </c>
      <c r="G26" s="26">
        <f>D26+E26+F26-E23-F23</f>
        <v>-30319</v>
      </c>
      <c r="H26" s="132">
        <v>-6900</v>
      </c>
      <c r="I26" s="63">
        <v>11100</v>
      </c>
      <c r="J26" s="63">
        <v>-800</v>
      </c>
      <c r="K26" s="170">
        <f t="shared" si="3"/>
        <v>3400</v>
      </c>
      <c r="L26" s="171">
        <v>35</v>
      </c>
      <c r="M26" s="153"/>
      <c r="N26" s="149">
        <f t="shared" si="7"/>
        <v>-26884</v>
      </c>
      <c r="O26" s="67">
        <f t="shared" si="1"/>
        <v>3350370.9775000014</v>
      </c>
      <c r="P26" s="7">
        <f t="shared" si="4"/>
        <v>67007419.550000027</v>
      </c>
      <c r="Q26" s="164">
        <f>Q25+N26+1</f>
        <v>3626285.45</v>
      </c>
      <c r="R26" s="29">
        <f t="shared" si="2"/>
        <v>2451.0890855103735</v>
      </c>
      <c r="S26" s="5">
        <f>SUM($Q$7:$Q26)/T26-1</f>
        <v>3681633.8500000015</v>
      </c>
      <c r="T26" s="18">
        <v>20</v>
      </c>
      <c r="U26" s="138">
        <f>B26</f>
        <v>44382</v>
      </c>
      <c r="V26" s="131">
        <v>1997.2</v>
      </c>
      <c r="W26" s="105">
        <v>-2226186</v>
      </c>
      <c r="X26" s="167">
        <f>AVERAGE(W26:W34)</f>
        <v>-2237272.4444444445</v>
      </c>
      <c r="Y26" s="156">
        <f>Y25-K26-L26</f>
        <v>-2226186</v>
      </c>
      <c r="Z26" s="217">
        <f>AVERAGE(Y26:Y34)</f>
        <v>-2237272.4444444445</v>
      </c>
      <c r="AC26" s="92"/>
      <c r="AD26" s="1"/>
      <c r="AE26" s="1"/>
    </row>
    <row r="27" spans="2:31">
      <c r="B27" s="116">
        <v>44383</v>
      </c>
      <c r="C27" s="14" t="str">
        <f t="shared" si="0"/>
        <v/>
      </c>
      <c r="D27" s="87"/>
      <c r="E27" s="87">
        <v>1</v>
      </c>
      <c r="F27" s="23">
        <v>-801086</v>
      </c>
      <c r="G27" s="26">
        <f>D27+E27+F27-E26-F26</f>
        <v>16055</v>
      </c>
      <c r="H27" s="132">
        <v>-200</v>
      </c>
      <c r="I27" s="63">
        <v>-1300</v>
      </c>
      <c r="J27" s="63">
        <v>-800</v>
      </c>
      <c r="K27" s="170">
        <f t="shared" si="3"/>
        <v>-2300</v>
      </c>
      <c r="L27" s="171">
        <v>11</v>
      </c>
      <c r="M27" s="153"/>
      <c r="N27" s="149">
        <f>L27+K27+G27+M27</f>
        <v>13766</v>
      </c>
      <c r="O27" s="67">
        <f t="shared" si="1"/>
        <v>3357012.7619047635</v>
      </c>
      <c r="P27" s="7">
        <f t="shared" si="4"/>
        <v>70497268.00000003</v>
      </c>
      <c r="Q27" s="164">
        <f>Q26+N27+1</f>
        <v>3640052.45</v>
      </c>
      <c r="R27" s="29">
        <f t="shared" si="2"/>
        <v>2449.77080218522</v>
      </c>
      <c r="S27" s="5">
        <f>SUM($Q$7:$Q27)/T27-1</f>
        <v>3679653.7357142875</v>
      </c>
      <c r="T27" s="18">
        <v>21</v>
      </c>
      <c r="U27" s="138">
        <f>B28+6</f>
        <v>44390</v>
      </c>
      <c r="V27" s="159"/>
      <c r="W27" s="105">
        <v>-2223898</v>
      </c>
      <c r="X27" s="167"/>
      <c r="Y27" s="156">
        <f>Y26-K27-L27-1</f>
        <v>-2223898</v>
      </c>
      <c r="Z27" s="217"/>
      <c r="AA27" s="92"/>
      <c r="AD27" s="1"/>
      <c r="AE27" s="1"/>
    </row>
    <row r="28" spans="2:31">
      <c r="B28" s="116">
        <v>44384</v>
      </c>
      <c r="C28" s="14" t="str">
        <f t="shared" si="0"/>
        <v/>
      </c>
      <c r="D28" s="87">
        <f>-85+72</f>
        <v>-13</v>
      </c>
      <c r="E28" s="87">
        <v>0</v>
      </c>
      <c r="F28" s="23">
        <v>-803233</v>
      </c>
      <c r="G28" s="26">
        <f>D28+E28+F28-E27-F27-406</f>
        <v>-2567</v>
      </c>
      <c r="H28" s="132">
        <v>-1400</v>
      </c>
      <c r="I28" s="63">
        <v>10400</v>
      </c>
      <c r="J28" s="63">
        <v>-800</v>
      </c>
      <c r="K28" s="170">
        <f t="shared" si="3"/>
        <v>8200</v>
      </c>
      <c r="L28" s="171">
        <v>-8</v>
      </c>
      <c r="M28" s="153"/>
      <c r="N28" s="149">
        <f>L28+K28+G28+M28</f>
        <v>5625</v>
      </c>
      <c r="O28" s="67">
        <f t="shared" si="1"/>
        <v>3363306.4295454561</v>
      </c>
      <c r="P28" s="7">
        <f t="shared" si="4"/>
        <v>73992741.450000033</v>
      </c>
      <c r="Q28" s="164">
        <f>Q27+N28</f>
        <v>3645677.45</v>
      </c>
      <c r="R28" s="29">
        <f t="shared" si="2"/>
        <v>2448.7425858408333</v>
      </c>
      <c r="S28" s="5">
        <f>SUM($Q$7:$Q28)/T28-1</f>
        <v>3678109.3136363653</v>
      </c>
      <c r="T28" s="18">
        <v>22</v>
      </c>
      <c r="U28" s="4"/>
      <c r="V28" s="131"/>
      <c r="W28" s="105">
        <v>-2232090</v>
      </c>
      <c r="X28" s="167"/>
      <c r="Y28" s="156">
        <f>Y27-K28-L28</f>
        <v>-2232090</v>
      </c>
      <c r="Z28" s="217"/>
      <c r="AA28" s="92"/>
      <c r="AD28" s="1"/>
      <c r="AE28" s="1"/>
    </row>
    <row r="29" spans="2:31">
      <c r="B29" s="116">
        <v>44385</v>
      </c>
      <c r="C29" s="14" t="str">
        <f t="shared" si="0"/>
        <v/>
      </c>
      <c r="D29" s="87"/>
      <c r="E29" s="87">
        <v>0</v>
      </c>
      <c r="F29" s="23">
        <v>-786814</v>
      </c>
      <c r="G29" s="26">
        <f>D29+E29+F29-E28-F28</f>
        <v>16419</v>
      </c>
      <c r="H29" s="132">
        <v>300</v>
      </c>
      <c r="I29" s="63">
        <v>-500</v>
      </c>
      <c r="J29" s="63">
        <v>-800</v>
      </c>
      <c r="K29" s="170">
        <f t="shared" si="3"/>
        <v>-1000</v>
      </c>
      <c r="L29" s="171">
        <v>-26</v>
      </c>
      <c r="M29" s="153"/>
      <c r="N29" s="149">
        <f>L29+K29+G29+M29</f>
        <v>15393</v>
      </c>
      <c r="O29" s="67">
        <f t="shared" si="1"/>
        <v>3369722.169565219</v>
      </c>
      <c r="P29" s="7">
        <f t="shared" si="4"/>
        <v>77503609.900000036</v>
      </c>
      <c r="Q29" s="164">
        <f>Q28+N29+2</f>
        <v>3661072.45</v>
      </c>
      <c r="R29" s="29">
        <f t="shared" si="2"/>
        <v>2448.2494054462754</v>
      </c>
      <c r="S29" s="5">
        <f>SUM($Q$7:$Q29)/T29-1</f>
        <v>3677368.5369565235</v>
      </c>
      <c r="T29" s="18">
        <v>23</v>
      </c>
      <c r="U29" s="4"/>
      <c r="V29" s="131"/>
      <c r="W29" s="105">
        <v>-2231066</v>
      </c>
      <c r="X29" s="167"/>
      <c r="Y29" s="156">
        <f>Y28-K29-L29-2</f>
        <v>-2231066</v>
      </c>
      <c r="Z29" s="217"/>
      <c r="AA29" s="92"/>
      <c r="AD29" s="1"/>
      <c r="AE29" s="1"/>
    </row>
    <row r="30" spans="2:31">
      <c r="B30" s="116">
        <v>44386</v>
      </c>
      <c r="C30" s="14" t="str">
        <f t="shared" si="0"/>
        <v/>
      </c>
      <c r="D30" s="87"/>
      <c r="E30" s="87">
        <v>0</v>
      </c>
      <c r="F30" s="23">
        <v>-791648</v>
      </c>
      <c r="G30" s="26">
        <f>D30+E30+F30-E29-F29</f>
        <v>-4834</v>
      </c>
      <c r="H30" s="132">
        <v>300</v>
      </c>
      <c r="I30" s="25">
        <v>15800</v>
      </c>
      <c r="J30" s="25">
        <v>-800</v>
      </c>
      <c r="K30" s="170">
        <f t="shared" si="3"/>
        <v>15300</v>
      </c>
      <c r="L30" s="171">
        <v>-40</v>
      </c>
      <c r="M30" s="153"/>
      <c r="N30" s="149">
        <f>L30+K30+G30+M30</f>
        <v>10426</v>
      </c>
      <c r="O30" s="67">
        <f t="shared" si="1"/>
        <v>3376037.6812500018</v>
      </c>
      <c r="P30" s="7">
        <f t="shared" si="4"/>
        <v>81024904.350000039</v>
      </c>
      <c r="Q30" s="164">
        <f>Q29+N30</f>
        <v>3671498.45</v>
      </c>
      <c r="R30" s="29">
        <f t="shared" si="2"/>
        <v>2448.0912015214876</v>
      </c>
      <c r="S30" s="5">
        <f>SUM($Q$7:$Q30)/T30+6</f>
        <v>3677130.9083333351</v>
      </c>
      <c r="T30" s="18">
        <v>24</v>
      </c>
      <c r="U30" s="4"/>
      <c r="V30" s="131"/>
      <c r="W30" s="105">
        <v>-2246326</v>
      </c>
      <c r="X30" s="167"/>
      <c r="Y30" s="156">
        <f>Y29-K30-L30</f>
        <v>-2246326</v>
      </c>
      <c r="Z30" s="217"/>
      <c r="AA30" s="92"/>
      <c r="AD30" s="1"/>
      <c r="AE30" s="1"/>
    </row>
    <row r="31" spans="2:31">
      <c r="B31" s="116">
        <v>44387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3381847.9520000014</v>
      </c>
      <c r="P31" s="7">
        <f t="shared" si="4"/>
        <v>84546198.800000042</v>
      </c>
      <c r="Q31" s="164">
        <f t="shared" ref="Q31:Q46" si="9">Q30+N31</f>
        <v>3671498.45</v>
      </c>
      <c r="R31" s="29">
        <f t="shared" si="2"/>
        <v>2447.9387033634271</v>
      </c>
      <c r="S31" s="5">
        <f>SUM($Q$7:$Q31)/T31+2</f>
        <v>3676901.850000002</v>
      </c>
      <c r="T31" s="18">
        <v>25</v>
      </c>
      <c r="U31" s="4"/>
      <c r="V31" s="137"/>
      <c r="W31" s="105">
        <v>-2246326</v>
      </c>
      <c r="X31" s="167"/>
      <c r="Y31" s="156">
        <f t="shared" si="6"/>
        <v>-2246326</v>
      </c>
      <c r="Z31" s="217"/>
      <c r="AA31" s="92"/>
      <c r="AB31" s="92"/>
      <c r="AD31" s="1"/>
      <c r="AE31" s="1"/>
    </row>
    <row r="32" spans="2:31">
      <c r="B32" s="116">
        <v>44388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3387211.2788461554</v>
      </c>
      <c r="P32" s="7">
        <f t="shared" si="4"/>
        <v>88067493.250000045</v>
      </c>
      <c r="Q32" s="164">
        <f t="shared" si="9"/>
        <v>3671498.45</v>
      </c>
      <c r="R32" s="29">
        <f t="shared" si="2"/>
        <v>2447.7950679383744</v>
      </c>
      <c r="S32" s="5">
        <f>SUM($Q$7:$Q32)/T32-6</f>
        <v>3676686.1038461556</v>
      </c>
      <c r="T32" s="18">
        <v>26</v>
      </c>
      <c r="U32" s="27"/>
      <c r="V32" s="137"/>
      <c r="W32" s="105">
        <v>-2246326</v>
      </c>
      <c r="X32" s="167"/>
      <c r="Y32" s="156">
        <f t="shared" si="6"/>
        <v>-2246326</v>
      </c>
      <c r="Z32" s="217"/>
      <c r="AD32" s="1"/>
      <c r="AE32" s="1"/>
    </row>
    <row r="33" spans="2:31">
      <c r="B33" s="116">
        <v>44389</v>
      </c>
      <c r="C33" s="14" t="str">
        <f t="shared" si="0"/>
        <v/>
      </c>
      <c r="D33" s="87"/>
      <c r="E33" s="87">
        <v>0</v>
      </c>
      <c r="F33" s="23">
        <v>-802878</v>
      </c>
      <c r="G33" s="26">
        <f>D33+E33+F33-E30-F30</f>
        <v>-11230</v>
      </c>
      <c r="H33" s="132">
        <v>300</v>
      </c>
      <c r="I33" s="25">
        <v>-4800</v>
      </c>
      <c r="J33" s="25">
        <v>-600</v>
      </c>
      <c r="K33" s="170">
        <f t="shared" si="3"/>
        <v>-5100</v>
      </c>
      <c r="L33" s="171">
        <v>-34</v>
      </c>
      <c r="M33" s="153"/>
      <c r="N33" s="149">
        <f t="shared" si="7"/>
        <v>-16364</v>
      </c>
      <c r="O33" s="67">
        <f t="shared" si="1"/>
        <v>3391571.211111113</v>
      </c>
      <c r="P33" s="7">
        <f t="shared" si="4"/>
        <v>91572422.700000048</v>
      </c>
      <c r="Q33" s="164">
        <f>Q32+N33-1</f>
        <v>3655133.45</v>
      </c>
      <c r="R33" s="29">
        <f t="shared" si="2"/>
        <v>2447.266807265577</v>
      </c>
      <c r="S33" s="5">
        <f>SUM($Q$7:$Q33)/T33-1</f>
        <v>3675892.6351851872</v>
      </c>
      <c r="T33" s="18">
        <v>27</v>
      </c>
      <c r="U33" s="138">
        <f>B33</f>
        <v>44389</v>
      </c>
      <c r="V33" s="131">
        <v>2022.8</v>
      </c>
      <c r="W33" s="105">
        <v>-2241192</v>
      </c>
      <c r="X33" s="167">
        <f>AVERAGE(W33:W41)</f>
        <v>-2217823.6666666665</v>
      </c>
      <c r="Y33" s="156">
        <f>Y32-K33-L33</f>
        <v>-2241192</v>
      </c>
      <c r="Z33" s="217">
        <f>AVERAGE(Y33:Y41)</f>
        <v>-2217823.6666666665</v>
      </c>
      <c r="AD33" s="1"/>
      <c r="AE33" s="1"/>
    </row>
    <row r="34" spans="2:31">
      <c r="B34" s="116">
        <v>44390</v>
      </c>
      <c r="C34" s="14" t="str">
        <f t="shared" si="0"/>
        <v/>
      </c>
      <c r="D34" s="87"/>
      <c r="E34" s="87">
        <v>0</v>
      </c>
      <c r="F34" s="23">
        <v>-790169</v>
      </c>
      <c r="G34" s="26">
        <f>D34+E34+F34-E33-F33</f>
        <v>12709</v>
      </c>
      <c r="H34" s="132">
        <v>300</v>
      </c>
      <c r="I34" s="25">
        <v>1100</v>
      </c>
      <c r="J34" s="25">
        <v>-600</v>
      </c>
      <c r="K34" s="170">
        <f t="shared" si="3"/>
        <v>800</v>
      </c>
      <c r="L34" s="171">
        <v>50</v>
      </c>
      <c r="M34" s="153"/>
      <c r="N34" s="149">
        <f>L34+K34+G34+M34</f>
        <v>13559</v>
      </c>
      <c r="O34" s="67">
        <f t="shared" si="1"/>
        <v>3396104.0053571449</v>
      </c>
      <c r="P34" s="7">
        <f t="shared" si="4"/>
        <v>95090912.150000051</v>
      </c>
      <c r="Q34" s="164">
        <f>Q33+N34+1</f>
        <v>3668693.45</v>
      </c>
      <c r="R34" s="29">
        <f t="shared" si="2"/>
        <v>2447.0962728784107</v>
      </c>
      <c r="S34" s="5">
        <f>SUM($Q$7:$Q34)/T34</f>
        <v>3675636.4857142875</v>
      </c>
      <c r="T34" s="18">
        <v>28</v>
      </c>
      <c r="U34" s="138">
        <f>B33+8</f>
        <v>44397</v>
      </c>
      <c r="V34" s="131"/>
      <c r="W34" s="105">
        <v>-2242042</v>
      </c>
      <c r="X34" s="167"/>
      <c r="Y34" s="156">
        <f>Y33-K34-L34</f>
        <v>-2242042</v>
      </c>
      <c r="Z34" s="217"/>
      <c r="AA34" s="92"/>
      <c r="AD34" s="1"/>
      <c r="AE34" s="1"/>
    </row>
    <row r="35" spans="2:31">
      <c r="B35" s="116">
        <v>44391</v>
      </c>
      <c r="C35" s="14" t="str">
        <f t="shared" si="0"/>
        <v/>
      </c>
      <c r="D35" s="87">
        <f>-72+42</f>
        <v>-30</v>
      </c>
      <c r="E35" s="87">
        <v>0</v>
      </c>
      <c r="F35" s="23">
        <v>-804015</v>
      </c>
      <c r="G35" s="26">
        <f>D35+E35+F35-E34-F34</f>
        <v>-13876</v>
      </c>
      <c r="H35" s="132">
        <v>300</v>
      </c>
      <c r="I35" s="25">
        <v>4900</v>
      </c>
      <c r="J35" s="25">
        <v>-600</v>
      </c>
      <c r="K35" s="170">
        <f t="shared" si="3"/>
        <v>4600</v>
      </c>
      <c r="L35" s="171">
        <v>9</v>
      </c>
      <c r="M35" s="153"/>
      <c r="N35" s="149">
        <f t="shared" si="7"/>
        <v>-9267</v>
      </c>
      <c r="O35" s="67">
        <f t="shared" si="1"/>
        <v>3400004.6413793121</v>
      </c>
      <c r="P35" s="7">
        <f t="shared" si="4"/>
        <v>98600134.600000054</v>
      </c>
      <c r="Q35" s="164">
        <f>Q34+N35</f>
        <v>3659426.45</v>
      </c>
      <c r="R35" s="29">
        <f t="shared" si="2"/>
        <v>2446.7241344874433</v>
      </c>
      <c r="S35" s="5">
        <f>SUM($Q$7:$Q35)/T35</f>
        <v>3675077.518965519</v>
      </c>
      <c r="T35" s="18">
        <v>29</v>
      </c>
      <c r="U35" s="4"/>
      <c r="V35" s="131"/>
      <c r="W35" s="105">
        <v>-2246652</v>
      </c>
      <c r="X35" s="167"/>
      <c r="Y35" s="156">
        <f>Y34-K35-L35-1</f>
        <v>-2246652</v>
      </c>
      <c r="Z35" s="217"/>
      <c r="AA35" s="92"/>
      <c r="AD35" s="1"/>
      <c r="AE35" s="1"/>
    </row>
    <row r="36" spans="2:31">
      <c r="B36" s="116">
        <v>44392</v>
      </c>
      <c r="C36" s="14" t="str">
        <f t="shared" si="0"/>
        <v/>
      </c>
      <c r="D36" s="87"/>
      <c r="E36" s="87">
        <v>0</v>
      </c>
      <c r="F36" s="23">
        <v>-795674</v>
      </c>
      <c r="G36" s="26">
        <f>D36+E36+F36-E35-F35</f>
        <v>8341</v>
      </c>
      <c r="H36" s="132">
        <v>300</v>
      </c>
      <c r="I36" s="25">
        <v>-22500</v>
      </c>
      <c r="J36" s="25">
        <v>-600</v>
      </c>
      <c r="K36" s="170">
        <f t="shared" si="3"/>
        <v>-22800</v>
      </c>
      <c r="L36" s="171">
        <v>36</v>
      </c>
      <c r="M36" s="153"/>
      <c r="N36" s="149">
        <f t="shared" si="7"/>
        <v>-14423</v>
      </c>
      <c r="O36" s="67">
        <f t="shared" si="1"/>
        <v>3403164.4016666687</v>
      </c>
      <c r="P36" s="7">
        <f t="shared" si="4"/>
        <v>102094932.05000006</v>
      </c>
      <c r="Q36" s="164">
        <f>Q35+N36-2</f>
        <v>3645001.45</v>
      </c>
      <c r="R36" s="29">
        <f t="shared" si="2"/>
        <v>2446.0407068608924</v>
      </c>
      <c r="S36" s="5">
        <f>SUM($Q$7:$Q36)/T36-24</f>
        <v>3674050.9833333353</v>
      </c>
      <c r="T36" s="18">
        <v>30</v>
      </c>
      <c r="U36" s="4"/>
      <c r="V36" s="136"/>
      <c r="W36" s="105">
        <v>-2223885</v>
      </c>
      <c r="X36" s="167"/>
      <c r="Y36" s="156">
        <f>Y35-K36-L36+3</f>
        <v>-2223885</v>
      </c>
      <c r="Z36" s="217"/>
      <c r="AD36" s="1"/>
      <c r="AE36" s="1"/>
    </row>
    <row r="37" spans="2:31">
      <c r="B37" s="116">
        <v>44393</v>
      </c>
      <c r="C37" s="14" t="str">
        <f t="shared" si="0"/>
        <v/>
      </c>
      <c r="D37" s="87"/>
      <c r="E37" s="87">
        <v>0</v>
      </c>
      <c r="F37" s="23">
        <v>-818089</v>
      </c>
      <c r="G37" s="26">
        <f>D37+E37+F37-E36-F36</f>
        <v>-22415</v>
      </c>
      <c r="H37" s="132">
        <v>2800</v>
      </c>
      <c r="I37" s="25">
        <v>-14100</v>
      </c>
      <c r="J37" s="25">
        <v>-600</v>
      </c>
      <c r="K37" s="170">
        <f t="shared" si="3"/>
        <v>-11900</v>
      </c>
      <c r="L37" s="171">
        <v>-45</v>
      </c>
      <c r="M37" s="153"/>
      <c r="N37" s="149">
        <f t="shared" si="7"/>
        <v>-34360</v>
      </c>
      <c r="O37" s="67">
        <f t="shared" si="1"/>
        <v>3405011.8548387117</v>
      </c>
      <c r="P37" s="7">
        <f t="shared" si="4"/>
        <v>105555367.50000006</v>
      </c>
      <c r="Q37" s="164">
        <f>Q36+N37-2</f>
        <v>3610639.45</v>
      </c>
      <c r="R37" s="29">
        <f t="shared" si="2"/>
        <v>2444.6949986727741</v>
      </c>
      <c r="S37" s="5">
        <f>SUM($Q$7:$Q37)/T37+1</f>
        <v>3672029.6758064535</v>
      </c>
      <c r="T37" s="18">
        <v>31</v>
      </c>
      <c r="U37" s="27"/>
      <c r="V37" s="137"/>
      <c r="W37" s="105">
        <v>-2211938</v>
      </c>
      <c r="X37" s="167"/>
      <c r="Y37" s="156">
        <f>Y36-K37-L37+2</f>
        <v>-2211938</v>
      </c>
      <c r="Z37" s="217"/>
      <c r="AA37" s="92"/>
      <c r="AD37" s="1"/>
      <c r="AE37" s="1"/>
    </row>
    <row r="38" spans="2:31">
      <c r="B38" s="116">
        <v>44394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/>
      <c r="O38" s="67">
        <f t="shared" si="1"/>
        <v>3406743.842187502</v>
      </c>
      <c r="P38" s="7">
        <f t="shared" si="4"/>
        <v>109015802.95000006</v>
      </c>
      <c r="Q38" s="164">
        <f t="shared" si="9"/>
        <v>3610639.45</v>
      </c>
      <c r="R38" s="29">
        <f t="shared" si="2"/>
        <v>2443.4171277063206</v>
      </c>
      <c r="S38" s="5">
        <f>SUM($Q$7:$Q38)/T38</f>
        <v>3670110.262500002</v>
      </c>
      <c r="T38" s="18">
        <v>32</v>
      </c>
      <c r="U38" s="27"/>
      <c r="V38" s="137"/>
      <c r="W38" s="105">
        <v>-2211938</v>
      </c>
      <c r="X38" s="167"/>
      <c r="Y38" s="156">
        <f t="shared" si="6"/>
        <v>-2211938</v>
      </c>
      <c r="Z38" s="217"/>
      <c r="AD38" s="1"/>
      <c r="AE38" s="1"/>
    </row>
    <row r="39" spans="2:31">
      <c r="B39" s="116">
        <v>44395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/>
      <c r="O39" s="67">
        <f t="shared" si="1"/>
        <v>3408370.8606060627</v>
      </c>
      <c r="P39" s="7">
        <f t="shared" si="4"/>
        <v>112476238.40000007</v>
      </c>
      <c r="Q39" s="164">
        <f t="shared" si="9"/>
        <v>3610639.45</v>
      </c>
      <c r="R39" s="29">
        <f t="shared" si="2"/>
        <v>2442.2186603996356</v>
      </c>
      <c r="S39" s="5">
        <f>SUM($Q$7:$Q39)/T39+2</f>
        <v>3668310.1166666686</v>
      </c>
      <c r="T39" s="18">
        <v>33</v>
      </c>
      <c r="U39" s="27"/>
      <c r="V39" s="137"/>
      <c r="W39" s="105">
        <v>-2211938</v>
      </c>
      <c r="X39" s="167"/>
      <c r="Y39" s="156">
        <f t="shared" si="6"/>
        <v>-2211938</v>
      </c>
      <c r="Z39" s="217"/>
      <c r="AD39" s="1"/>
      <c r="AE39" s="1"/>
    </row>
    <row r="40" spans="2:31">
      <c r="B40" s="116">
        <v>44396</v>
      </c>
      <c r="C40" s="14" t="str">
        <f t="shared" si="0"/>
        <v/>
      </c>
      <c r="D40" s="87"/>
      <c r="E40" s="87">
        <v>0</v>
      </c>
      <c r="F40" s="23">
        <v>-798180</v>
      </c>
      <c r="G40" s="26">
        <f>D40+E40+F40-E37-F37</f>
        <v>19909</v>
      </c>
      <c r="H40" s="132">
        <v>300</v>
      </c>
      <c r="I40" s="25">
        <v>-15100</v>
      </c>
      <c r="J40" s="25">
        <v>-400</v>
      </c>
      <c r="K40" s="170">
        <f t="shared" si="3"/>
        <v>-15200</v>
      </c>
      <c r="L40" s="171">
        <v>-32</v>
      </c>
      <c r="M40" s="153"/>
      <c r="N40" s="149">
        <f t="shared" si="7"/>
        <v>4677</v>
      </c>
      <c r="O40" s="67">
        <f t="shared" si="1"/>
        <v>3410039.7014705902</v>
      </c>
      <c r="P40" s="7">
        <f t="shared" si="4"/>
        <v>115941349.85000007</v>
      </c>
      <c r="Q40" s="164">
        <f>Q39+N40-1</f>
        <v>3615315.45</v>
      </c>
      <c r="R40" s="29">
        <f t="shared" si="2"/>
        <v>2441.1803339615003</v>
      </c>
      <c r="S40" s="5">
        <f>SUM($Q$7:$Q40)/T40+1</f>
        <v>3666750.5088235317</v>
      </c>
      <c r="T40" s="18">
        <v>34</v>
      </c>
      <c r="U40" s="138">
        <f>B40</f>
        <v>44396</v>
      </c>
      <c r="V40" s="131">
        <v>2087.5</v>
      </c>
      <c r="W40" s="105">
        <v>-2196705</v>
      </c>
      <c r="X40" s="167">
        <f>AVERAGE(W40:W48)</f>
        <v>-2176143</v>
      </c>
      <c r="Y40" s="156">
        <f>Y39-K40-L40+1</f>
        <v>-2196705</v>
      </c>
      <c r="Z40" s="217">
        <f>AVERAGE(Y40:Y48)</f>
        <v>-2176142.888888889</v>
      </c>
      <c r="AD40" s="1"/>
      <c r="AE40" s="1"/>
    </row>
    <row r="41" spans="2:31">
      <c r="B41" s="116">
        <v>44397</v>
      </c>
      <c r="C41" s="14" t="str">
        <f t="shared" si="0"/>
        <v/>
      </c>
      <c r="D41" s="87"/>
      <c r="E41" s="87">
        <v>1</v>
      </c>
      <c r="F41" s="23">
        <v>-808550</v>
      </c>
      <c r="G41" s="26">
        <f>D41+E41+F41-E40-F40</f>
        <v>-10369</v>
      </c>
      <c r="H41" s="132">
        <v>-15700</v>
      </c>
      <c r="I41" s="25">
        <v>-6500</v>
      </c>
      <c r="J41" s="25">
        <v>-400</v>
      </c>
      <c r="K41" s="170">
        <f t="shared" si="3"/>
        <v>-22600</v>
      </c>
      <c r="L41" s="171">
        <v>20</v>
      </c>
      <c r="M41" s="153"/>
      <c r="N41" s="149">
        <f t="shared" si="7"/>
        <v>-32949</v>
      </c>
      <c r="O41" s="67">
        <f t="shared" si="1"/>
        <v>3410671.7228571451</v>
      </c>
      <c r="P41" s="7">
        <f t="shared" si="4"/>
        <v>119373510.30000007</v>
      </c>
      <c r="Q41" s="164">
        <f>Q40+N41-2</f>
        <v>3582364.45</v>
      </c>
      <c r="R41" s="29">
        <f t="shared" si="2"/>
        <v>2439.5751825136872</v>
      </c>
      <c r="S41" s="5">
        <f>SUM($Q$7:$Q41)/T41+1</f>
        <v>3664339.507142859</v>
      </c>
      <c r="T41" s="18">
        <v>35</v>
      </c>
      <c r="U41" s="138">
        <f>B40+8</f>
        <v>44404</v>
      </c>
      <c r="V41" s="137"/>
      <c r="W41" s="105">
        <v>-2174123</v>
      </c>
      <c r="X41" s="167"/>
      <c r="Y41" s="156">
        <f>Y40-K41-L41+2</f>
        <v>-2174123</v>
      </c>
      <c r="Z41" s="217"/>
      <c r="AD41" s="1"/>
      <c r="AE41" s="1"/>
    </row>
    <row r="42" spans="2:31">
      <c r="B42" s="116">
        <v>44398</v>
      </c>
      <c r="C42" s="14" t="str">
        <f t="shared" si="0"/>
        <v/>
      </c>
      <c r="D42" s="87">
        <f>-42+55</f>
        <v>13</v>
      </c>
      <c r="E42" s="87">
        <v>0</v>
      </c>
      <c r="F42" s="23">
        <v>-787875</v>
      </c>
      <c r="G42" s="26">
        <f t="shared" ref="G42:G44" si="10">D42+E42+F42-E41-F41</f>
        <v>20687</v>
      </c>
      <c r="H42" s="132">
        <v>-14900</v>
      </c>
      <c r="I42" s="25">
        <v>-900</v>
      </c>
      <c r="J42" s="25">
        <v>-500</v>
      </c>
      <c r="K42" s="170">
        <f t="shared" si="3"/>
        <v>-16300</v>
      </c>
      <c r="L42" s="171">
        <v>14</v>
      </c>
      <c r="M42" s="153"/>
      <c r="N42" s="149">
        <f t="shared" si="7"/>
        <v>4401</v>
      </c>
      <c r="O42" s="67">
        <f t="shared" si="1"/>
        <v>3411390.9375000019</v>
      </c>
      <c r="P42" s="7">
        <f t="shared" si="4"/>
        <v>122810073.75000007</v>
      </c>
      <c r="Q42" s="164">
        <f>Q41+N42+2</f>
        <v>3586767.45</v>
      </c>
      <c r="R42" s="29">
        <f t="shared" si="2"/>
        <v>2438.140632443582</v>
      </c>
      <c r="S42" s="5">
        <f>SUM($Q$7:$Q42)/T42+1</f>
        <v>3662184.7555555576</v>
      </c>
      <c r="T42" s="18">
        <v>36</v>
      </c>
      <c r="U42" s="27"/>
      <c r="V42" s="137"/>
      <c r="W42" s="105">
        <v>-2157839</v>
      </c>
      <c r="X42" s="167"/>
      <c r="Y42" s="156">
        <f>Y41-K42-L42-1</f>
        <v>-2157838</v>
      </c>
      <c r="Z42" s="217"/>
      <c r="AD42" s="1"/>
      <c r="AE42" s="1"/>
    </row>
    <row r="43" spans="2:31">
      <c r="B43" s="116">
        <v>44399</v>
      </c>
      <c r="C43" s="14" t="str">
        <f t="shared" si="0"/>
        <v/>
      </c>
      <c r="D43" s="87"/>
      <c r="E43" s="87">
        <v>0</v>
      </c>
      <c r="F43" s="23">
        <v>-803833</v>
      </c>
      <c r="G43" s="26">
        <f t="shared" si="10"/>
        <v>-15958</v>
      </c>
      <c r="H43" s="132">
        <v>-200</v>
      </c>
      <c r="I43" s="25">
        <v>7600</v>
      </c>
      <c r="J43" s="25">
        <v>-500</v>
      </c>
      <c r="K43" s="170">
        <f t="shared" si="3"/>
        <v>6900</v>
      </c>
      <c r="L43" s="171">
        <v>15</v>
      </c>
      <c r="M43" s="153"/>
      <c r="N43" s="149">
        <f t="shared" si="7"/>
        <v>-9043</v>
      </c>
      <c r="O43" s="67">
        <f t="shared" si="1"/>
        <v>3411826.7891891911</v>
      </c>
      <c r="P43" s="7">
        <f t="shared" si="4"/>
        <v>126237591.20000008</v>
      </c>
      <c r="Q43" s="164">
        <f>Q42+N43-3</f>
        <v>3577721.45</v>
      </c>
      <c r="R43" s="29">
        <f t="shared" si="2"/>
        <v>2436.6208559962065</v>
      </c>
      <c r="S43" s="5">
        <f>SUM($Q$7:$Q43)/T43+1</f>
        <v>3659901.9905405422</v>
      </c>
      <c r="T43" s="18">
        <v>37</v>
      </c>
      <c r="U43" s="27"/>
      <c r="V43" s="137"/>
      <c r="W43" s="105">
        <v>-2164752</v>
      </c>
      <c r="X43" s="167"/>
      <c r="Y43" s="156">
        <f>Y42-K43-L43+1</f>
        <v>-2164752</v>
      </c>
      <c r="Z43" s="217"/>
      <c r="AD43" s="1"/>
      <c r="AE43" s="1"/>
    </row>
    <row r="44" spans="2:31">
      <c r="B44" s="116">
        <v>44400</v>
      </c>
      <c r="C44" s="14" t="str">
        <f t="shared" si="0"/>
        <v/>
      </c>
      <c r="D44" s="87"/>
      <c r="E44" s="87">
        <v>0</v>
      </c>
      <c r="F44" s="23">
        <v>-783898</v>
      </c>
      <c r="G44" s="26">
        <f t="shared" si="10"/>
        <v>19935</v>
      </c>
      <c r="H44" s="132">
        <v>-1200</v>
      </c>
      <c r="I44" s="25">
        <v>9700</v>
      </c>
      <c r="J44" s="25">
        <v>-500</v>
      </c>
      <c r="K44" s="170">
        <f t="shared" si="3"/>
        <v>8000</v>
      </c>
      <c r="L44" s="171">
        <v>39</v>
      </c>
      <c r="M44" s="153"/>
      <c r="N44" s="149">
        <f t="shared" si="7"/>
        <v>27974</v>
      </c>
      <c r="O44" s="67">
        <f t="shared" si="1"/>
        <v>3412975.8855263181</v>
      </c>
      <c r="P44" s="7">
        <f t="shared" si="4"/>
        <v>129693083.65000008</v>
      </c>
      <c r="Q44" s="164">
        <f>Q43+N44+1</f>
        <v>3605696.45</v>
      </c>
      <c r="R44" s="29">
        <f t="shared" si="2"/>
        <v>2435.670524928204</v>
      </c>
      <c r="S44" s="5">
        <f>SUM($Q$7:$Q44)/T44</f>
        <v>3658474.5552631593</v>
      </c>
      <c r="T44" s="18">
        <v>38</v>
      </c>
      <c r="U44" s="27"/>
      <c r="V44" s="137"/>
      <c r="W44" s="105">
        <v>-2172790</v>
      </c>
      <c r="X44" s="167"/>
      <c r="Y44" s="156">
        <f>Y43-K44-L44+1</f>
        <v>-2172790</v>
      </c>
      <c r="Z44" s="217"/>
      <c r="AD44" s="1"/>
      <c r="AE44" s="1"/>
    </row>
    <row r="45" spans="2:31">
      <c r="B45" s="116">
        <v>44401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3414066.0538461558</v>
      </c>
      <c r="P45" s="7">
        <f t="shared" si="4"/>
        <v>133148576.10000008</v>
      </c>
      <c r="Q45" s="164">
        <f t="shared" si="9"/>
        <v>3605696.45</v>
      </c>
      <c r="R45" s="29">
        <f t="shared" si="2"/>
        <v>2434.7695604063952</v>
      </c>
      <c r="S45" s="5">
        <f>SUM($Q$7:$Q45)/T45</f>
        <v>3657121.2705128216</v>
      </c>
      <c r="T45" s="18">
        <v>39</v>
      </c>
      <c r="U45" s="27"/>
      <c r="V45" s="137"/>
      <c r="W45" s="105">
        <v>-2172790</v>
      </c>
      <c r="X45" s="167"/>
      <c r="Y45" s="156">
        <f>Y44-K45-L45</f>
        <v>-2172790</v>
      </c>
      <c r="Z45" s="217"/>
      <c r="AD45" s="1"/>
      <c r="AE45" s="1"/>
    </row>
    <row r="46" spans="2:31">
      <c r="B46" s="116">
        <v>44402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3415101.713750002</v>
      </c>
      <c r="P46" s="7">
        <f t="shared" si="4"/>
        <v>136604068.55000007</v>
      </c>
      <c r="Q46" s="164">
        <f t="shared" si="9"/>
        <v>3605696.45</v>
      </c>
      <c r="R46" s="29">
        <f t="shared" si="2"/>
        <v>2433.9143098719082</v>
      </c>
      <c r="S46" s="5">
        <f>SUM($Q$7:$Q46)/T46+1</f>
        <v>3655836.6500000008</v>
      </c>
      <c r="T46" s="18">
        <v>40</v>
      </c>
      <c r="U46" s="27"/>
      <c r="V46" s="137"/>
      <c r="W46" s="105">
        <v>-2172790</v>
      </c>
      <c r="X46" s="167"/>
      <c r="Y46" s="156">
        <f>Y45-K46-L46</f>
        <v>-2172790</v>
      </c>
      <c r="Z46" s="217"/>
      <c r="AD46" s="1"/>
      <c r="AE46" s="1"/>
    </row>
    <row r="47" spans="2:31">
      <c r="B47" s="116">
        <v>44403</v>
      </c>
      <c r="C47" s="14" t="str">
        <f t="shared" si="0"/>
        <v/>
      </c>
      <c r="D47" s="87"/>
      <c r="E47" s="87">
        <v>0</v>
      </c>
      <c r="F47" s="23">
        <v>-801109</v>
      </c>
      <c r="G47" s="26">
        <f>D47+E47+F47-E44-F44</f>
        <v>-17211</v>
      </c>
      <c r="H47" s="132">
        <v>300</v>
      </c>
      <c r="I47" s="25">
        <v>14500</v>
      </c>
      <c r="J47" s="25">
        <v>-700</v>
      </c>
      <c r="K47" s="170">
        <f t="shared" si="3"/>
        <v>14100</v>
      </c>
      <c r="L47" s="171">
        <v>25</v>
      </c>
      <c r="M47" s="153"/>
      <c r="N47" s="149">
        <f t="shared" si="7"/>
        <v>-3086</v>
      </c>
      <c r="O47" s="67">
        <f t="shared" si="1"/>
        <v>3416011.5365853673</v>
      </c>
      <c r="P47" s="7">
        <f t="shared" si="4"/>
        <v>140056473.00000006</v>
      </c>
      <c r="Q47" s="164">
        <f>Q46+N47-2</f>
        <v>3602608.45</v>
      </c>
      <c r="R47" s="29">
        <f t="shared" si="2"/>
        <v>2433.0500024032362</v>
      </c>
      <c r="S47" s="5">
        <f>SUM($Q$7:$Q47)/T47+1</f>
        <v>3654538.4256097567</v>
      </c>
      <c r="T47" s="18">
        <v>41</v>
      </c>
      <c r="U47" s="138"/>
      <c r="V47" s="137"/>
      <c r="W47" s="105">
        <v>-2186914</v>
      </c>
      <c r="X47" s="167"/>
      <c r="Y47" s="156">
        <f t="shared" ref="Y47" si="11">Y46-K47-L47+1</f>
        <v>-2186914</v>
      </c>
      <c r="Z47" s="217"/>
      <c r="AD47" s="1"/>
      <c r="AE47" s="1"/>
    </row>
    <row r="48" spans="2:31">
      <c r="B48" s="116">
        <v>44404</v>
      </c>
      <c r="C48" s="14" t="str">
        <f t="shared" si="0"/>
        <v/>
      </c>
      <c r="D48" s="87"/>
      <c r="E48" s="87">
        <v>7</v>
      </c>
      <c r="F48" s="23">
        <v>-808863</v>
      </c>
      <c r="G48" s="26">
        <f>D48+E48+F48-E47-F47</f>
        <v>-7747</v>
      </c>
      <c r="H48" s="132">
        <v>300</v>
      </c>
      <c r="I48" s="25">
        <v>100</v>
      </c>
      <c r="J48" s="25">
        <v>-700</v>
      </c>
      <c r="K48" s="170">
        <f t="shared" si="3"/>
        <v>-300</v>
      </c>
      <c r="L48" s="171">
        <v>-32</v>
      </c>
      <c r="M48" s="153"/>
      <c r="N48" s="149">
        <f t="shared" si="7"/>
        <v>-8079</v>
      </c>
      <c r="O48" s="67">
        <f t="shared" si="1"/>
        <v>3416685.7488095248</v>
      </c>
      <c r="P48" s="7">
        <f t="shared" si="4"/>
        <v>143500801.45000005</v>
      </c>
      <c r="Q48" s="164">
        <f>Q47+N48+3</f>
        <v>3594532.45</v>
      </c>
      <c r="R48" s="29">
        <f t="shared" si="2"/>
        <v>2432.09883605915</v>
      </c>
      <c r="S48" s="5">
        <f>SUM($Q$7:$Q48)/T48+1</f>
        <v>3653109.7357142856</v>
      </c>
      <c r="T48" s="18">
        <v>42</v>
      </c>
      <c r="U48" s="138"/>
      <c r="V48" s="137"/>
      <c r="W48" s="105">
        <v>-2186584</v>
      </c>
      <c r="X48" s="167"/>
      <c r="Y48" s="156">
        <f>Y47-K48-L48-2</f>
        <v>-2186584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2021'!Q55</f>
        <v>3573000.45</v>
      </c>
    </row>
    <row r="53" spans="4:7">
      <c r="D53" s="138" t="s">
        <v>4</v>
      </c>
      <c r="E53" s="139"/>
      <c r="F53" s="143"/>
      <c r="G53" s="91">
        <f>'May 2021'!E55</f>
        <v>0</v>
      </c>
    </row>
    <row r="54" spans="4:7">
      <c r="D54" s="138" t="s">
        <v>60</v>
      </c>
      <c r="E54" s="144"/>
      <c r="F54" s="143"/>
      <c r="G54" s="91">
        <f>'May 2021'!F55</f>
        <v>-742028</v>
      </c>
    </row>
    <row r="55" spans="4:7" ht="12.75" thickBot="1">
      <c r="D55" s="140" t="s">
        <v>46</v>
      </c>
      <c r="E55" s="145"/>
      <c r="F55" s="146"/>
      <c r="G55" s="158">
        <f>'May 2021'!Y55</f>
        <v>-2207839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EAA1-C58E-4CC1-819D-8D727F270AB9}">
  <sheetPr codeName="Sheet26">
    <pageSetUpPr fitToPage="1"/>
  </sheetPr>
  <dimension ref="B1:IU65513"/>
  <sheetViews>
    <sheetView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33" sqref="H33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150929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44405</v>
      </c>
      <c r="C7" s="196" t="str">
        <f t="shared" ref="C7:C48" si="0">IF(OR(WEEKDAY(B7)=1,WEEKDAY(B7)=7),"F","")</f>
        <v/>
      </c>
      <c r="D7" s="197">
        <f>-55+96</f>
        <v>41</v>
      </c>
      <c r="E7" s="197">
        <v>0</v>
      </c>
      <c r="F7" s="198">
        <v>-603336</v>
      </c>
      <c r="G7" s="199">
        <f>D7+E7+F7-G60-G61</f>
        <v>205561</v>
      </c>
      <c r="H7" s="132">
        <v>300</v>
      </c>
      <c r="I7" s="63">
        <v>8400</v>
      </c>
      <c r="J7" s="63">
        <v>-800</v>
      </c>
      <c r="K7" s="168">
        <f>+H7+I7+J7+184</f>
        <v>8084</v>
      </c>
      <c r="L7" s="169">
        <v>-5</v>
      </c>
      <c r="M7" s="203"/>
      <c r="N7" s="204">
        <f>L7+K7+G7+M7</f>
        <v>213640</v>
      </c>
      <c r="O7" s="205">
        <f t="shared" ref="O7:O48" si="1">P7/T7</f>
        <v>3657218.45</v>
      </c>
      <c r="P7" s="206">
        <f>(+$Q7-$Q$3)</f>
        <v>3657218.45</v>
      </c>
      <c r="Q7" s="207">
        <f>G59+N7-25</f>
        <v>3808147.45</v>
      </c>
      <c r="R7" s="208">
        <f t="shared" ref="R7:R55" si="2">$S7/$Q$3*100</f>
        <v>2523.1383299432187</v>
      </c>
      <c r="S7" s="209">
        <f>$Q7</f>
        <v>3808147.45</v>
      </c>
      <c r="T7" s="210">
        <v>1</v>
      </c>
      <c r="U7" s="211">
        <f>B7</f>
        <v>44405</v>
      </c>
      <c r="V7" s="212">
        <v>2052.4</v>
      </c>
      <c r="W7" s="213">
        <v>-2194663</v>
      </c>
      <c r="X7" s="214">
        <f>AVERAGE(W7:W11)</f>
        <v>-2211889.4</v>
      </c>
      <c r="Y7" s="215">
        <f>G62-K7+5</f>
        <v>-2194663</v>
      </c>
      <c r="Z7" s="216">
        <f>AVERAGE(Y7:Y13)</f>
        <v>-2226207.7142857141</v>
      </c>
      <c r="AA7" s="92"/>
    </row>
    <row r="8" spans="2:255">
      <c r="B8" s="116">
        <v>44406</v>
      </c>
      <c r="C8" s="14"/>
      <c r="D8" s="307">
        <f>-25-747-1881+25</f>
        <v>-2628</v>
      </c>
      <c r="E8" s="128">
        <v>3</v>
      </c>
      <c r="F8" s="162">
        <v>-646423</v>
      </c>
      <c r="G8" s="26">
        <f>D8+E8+F8-E7-F7</f>
        <v>-45712</v>
      </c>
      <c r="H8" s="132">
        <v>300</v>
      </c>
      <c r="I8" s="63">
        <v>200</v>
      </c>
      <c r="J8" s="63">
        <v>-800</v>
      </c>
      <c r="K8" s="170">
        <f t="shared" ref="K8:K48" si="3">+H8+I8+J8</f>
        <v>-300</v>
      </c>
      <c r="L8" s="171">
        <v>-46</v>
      </c>
      <c r="M8" s="153"/>
      <c r="N8" s="149">
        <f>L8+K8+G8+M8</f>
        <v>-46058</v>
      </c>
      <c r="O8" s="67">
        <f t="shared" si="1"/>
        <v>1805579.7250000001</v>
      </c>
      <c r="P8" s="163">
        <f>(IF($Q8&lt;0,-$Q$3+P6,($Q8-$Q$3)+P6))</f>
        <v>3611159.45</v>
      </c>
      <c r="Q8" s="164">
        <f>Q7+N8-1</f>
        <v>3762088.45</v>
      </c>
      <c r="R8" s="29">
        <f t="shared" si="2"/>
        <v>2507.8798309138738</v>
      </c>
      <c r="S8" s="165">
        <f>SUM($Q$7:$Q8)/T8</f>
        <v>3785117.95</v>
      </c>
      <c r="T8" s="166">
        <v>2</v>
      </c>
      <c r="U8" s="138">
        <f>B7+6</f>
        <v>44411</v>
      </c>
      <c r="V8" s="131"/>
      <c r="W8" s="105">
        <v>-2194317</v>
      </c>
      <c r="X8" s="167"/>
      <c r="Y8" s="156">
        <f>Y7-K8-L8</f>
        <v>-2194317</v>
      </c>
      <c r="Z8" s="217"/>
      <c r="AA8" s="92"/>
    </row>
    <row r="9" spans="2:255">
      <c r="B9" s="116">
        <v>44407</v>
      </c>
      <c r="C9" s="14" t="str">
        <f t="shared" si="0"/>
        <v/>
      </c>
      <c r="D9" s="87"/>
      <c r="E9" s="87">
        <v>71</v>
      </c>
      <c r="F9" s="23">
        <v>-680960</v>
      </c>
      <c r="G9" s="26">
        <f>D9+E9+F9-E8-F8</f>
        <v>-34469</v>
      </c>
      <c r="H9" s="132">
        <v>300</v>
      </c>
      <c r="I9" s="63">
        <v>29650</v>
      </c>
      <c r="J9" s="63">
        <v>-800</v>
      </c>
      <c r="K9" s="170">
        <f t="shared" si="3"/>
        <v>29150</v>
      </c>
      <c r="L9" s="171">
        <v>24</v>
      </c>
      <c r="M9" s="153"/>
      <c r="N9" s="149">
        <f>L9+K9+G9+M9</f>
        <v>-5295</v>
      </c>
      <c r="O9" s="67">
        <f t="shared" si="1"/>
        <v>2421027.6333333333</v>
      </c>
      <c r="P9" s="7">
        <f>(IF($Q9&lt;0,-$Q$3+P7,($Q9-$Q$3)+P7))</f>
        <v>7263082.9000000004</v>
      </c>
      <c r="Q9" s="164">
        <f>Q8+N9</f>
        <v>3756793.45</v>
      </c>
      <c r="R9" s="29">
        <f t="shared" si="2"/>
        <v>2501.6249031001335</v>
      </c>
      <c r="S9" s="5">
        <f>SUM($Q$7:$Q9)/T9+1</f>
        <v>3775677.4500000007</v>
      </c>
      <c r="T9" s="17">
        <v>3</v>
      </c>
      <c r="U9" s="4"/>
      <c r="V9" s="131"/>
      <c r="W9" s="105">
        <v>-2223489</v>
      </c>
      <c r="X9" s="167"/>
      <c r="Y9" s="156">
        <f>Y8-K9-L9+2</f>
        <v>-2223489</v>
      </c>
      <c r="Z9" s="217"/>
      <c r="AA9" s="92"/>
    </row>
    <row r="10" spans="2:255">
      <c r="B10" s="116">
        <v>44408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2717236.8375000004</v>
      </c>
      <c r="P10" s="7">
        <f t="shared" ref="P10:P55" si="4">(IF($Q10&lt;0,-$Q$3+P9,($Q10-$Q$3)+P9))</f>
        <v>10868947.350000001</v>
      </c>
      <c r="Q10" s="164">
        <f>Q9+N10</f>
        <v>3756793.45</v>
      </c>
      <c r="R10" s="29">
        <f t="shared" si="2"/>
        <v>2498.4957827852832</v>
      </c>
      <c r="S10" s="5">
        <f>SUM($Q$7:$Q10)/T10-1</f>
        <v>3770954.7</v>
      </c>
      <c r="T10" s="17">
        <v>4</v>
      </c>
      <c r="U10" s="27"/>
      <c r="V10" s="133"/>
      <c r="W10" s="105">
        <v>-2223489</v>
      </c>
      <c r="X10" s="167"/>
      <c r="Y10" s="156">
        <f>Y9-K10-L10</f>
        <v>-2223489</v>
      </c>
      <c r="Z10" s="217"/>
      <c r="AA10" s="92"/>
    </row>
    <row r="11" spans="2:255">
      <c r="B11" s="116">
        <v>44409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2894962.3600000003</v>
      </c>
      <c r="P11" s="7">
        <f t="shared" si="4"/>
        <v>14474811.800000001</v>
      </c>
      <c r="Q11" s="164">
        <f t="shared" ref="Q11:Q18" si="5">Q10+N11</f>
        <v>3756793.45</v>
      </c>
      <c r="R11" s="29">
        <f t="shared" si="2"/>
        <v>2496.6191056722037</v>
      </c>
      <c r="S11" s="5">
        <f>SUM($Q$7:$Q11)/T11-1</f>
        <v>3768122.25</v>
      </c>
      <c r="T11" s="17">
        <v>5</v>
      </c>
      <c r="U11" s="27"/>
      <c r="V11" s="134"/>
      <c r="W11" s="105">
        <v>-2223489</v>
      </c>
      <c r="X11" s="167"/>
      <c r="Y11" s="156">
        <f t="shared" ref="Y11:Y39" si="6">Y10-K11-L11</f>
        <v>-2223489</v>
      </c>
      <c r="Z11" s="217"/>
      <c r="AA11" s="92"/>
    </row>
    <row r="12" spans="2:255">
      <c r="B12" s="116">
        <v>44410</v>
      </c>
      <c r="C12" s="14" t="str">
        <f t="shared" si="0"/>
        <v/>
      </c>
      <c r="D12" s="87"/>
      <c r="E12" s="161">
        <v>0</v>
      </c>
      <c r="F12" s="23">
        <v>-627544</v>
      </c>
      <c r="G12" s="26">
        <f>D12+E12+F12-E9-F9</f>
        <v>53345</v>
      </c>
      <c r="H12" s="132">
        <v>8300</v>
      </c>
      <c r="I12" s="63">
        <v>27150</v>
      </c>
      <c r="J12" s="63">
        <v>-300</v>
      </c>
      <c r="K12" s="170">
        <f t="shared" si="3"/>
        <v>35150</v>
      </c>
      <c r="L12" s="171">
        <v>16</v>
      </c>
      <c r="M12" s="153"/>
      <c r="N12" s="149">
        <f t="shared" ref="N12:N48" si="7">L12+K12+G12+M12</f>
        <v>88511</v>
      </c>
      <c r="O12" s="67">
        <f t="shared" si="1"/>
        <v>3028197.7083333335</v>
      </c>
      <c r="P12" s="7">
        <f t="shared" si="4"/>
        <v>18169186.25</v>
      </c>
      <c r="Q12" s="164">
        <f>Q11+N12-1</f>
        <v>3845303.45</v>
      </c>
      <c r="R12" s="29">
        <f t="shared" si="2"/>
        <v>2505.1412363870872</v>
      </c>
      <c r="S12" s="5">
        <f>SUM($Q$7:$Q12)/T12-2</f>
        <v>3780984.6166666667</v>
      </c>
      <c r="T12" s="17">
        <v>6</v>
      </c>
      <c r="U12" s="138">
        <f>B13</f>
        <v>44411</v>
      </c>
      <c r="V12" s="131">
        <v>2044.8</v>
      </c>
      <c r="W12" s="105">
        <v>-2258655</v>
      </c>
      <c r="X12" s="167">
        <f>AVERAGE(W12:W20)</f>
        <v>-2272706.6666666665</v>
      </c>
      <c r="Y12" s="156">
        <f>Y11-K12-L12</f>
        <v>-2258655</v>
      </c>
      <c r="Z12" s="217">
        <f>AVERAGE(Y12:Y20)</f>
        <v>-2272506.6666666665</v>
      </c>
      <c r="AA12" s="92"/>
    </row>
    <row r="13" spans="2:255">
      <c r="B13" s="116">
        <v>44411</v>
      </c>
      <c r="C13" s="14"/>
      <c r="D13" s="87"/>
      <c r="E13" s="87">
        <v>0</v>
      </c>
      <c r="F13" s="23">
        <v>-626156</v>
      </c>
      <c r="G13" s="26">
        <f>D13+E13+F13-E12-F12</f>
        <v>1388</v>
      </c>
      <c r="H13" s="132">
        <v>300</v>
      </c>
      <c r="I13" s="63">
        <v>6650</v>
      </c>
      <c r="J13" s="63">
        <v>-300</v>
      </c>
      <c r="K13" s="170">
        <f t="shared" si="3"/>
        <v>6650</v>
      </c>
      <c r="L13" s="171">
        <v>47</v>
      </c>
      <c r="M13" s="153"/>
      <c r="N13" s="149">
        <f t="shared" si="7"/>
        <v>8085</v>
      </c>
      <c r="O13" s="67">
        <f t="shared" si="1"/>
        <v>3124520.8142857142</v>
      </c>
      <c r="P13" s="7">
        <f>(IF($Q13&lt;0,-$Q$3+P12,($Q13-$Q$3)+P12))</f>
        <v>21871645.699999999</v>
      </c>
      <c r="Q13" s="164">
        <f>Q12+N13</f>
        <v>3853388.45</v>
      </c>
      <c r="R13" s="29">
        <f t="shared" si="2"/>
        <v>2511.9942063581457</v>
      </c>
      <c r="S13" s="5">
        <f>SUM($Q$7:$Q13)/T13-2</f>
        <v>3791327.7357142856</v>
      </c>
      <c r="T13" s="17">
        <v>7</v>
      </c>
      <c r="U13" s="138">
        <f>B14+6</f>
        <v>44418</v>
      </c>
      <c r="V13" s="249"/>
      <c r="W13" s="105">
        <v>-2265352</v>
      </c>
      <c r="X13" s="167"/>
      <c r="Y13" s="156">
        <f>Y12-K13-L13</f>
        <v>-2265352</v>
      </c>
      <c r="Z13" s="217"/>
      <c r="AA13" s="92"/>
      <c r="AB13" s="92"/>
    </row>
    <row r="14" spans="2:255">
      <c r="B14" s="116">
        <v>44412</v>
      </c>
      <c r="C14" s="14"/>
      <c r="D14" s="87">
        <f>-96+145</f>
        <v>49</v>
      </c>
      <c r="E14" s="87">
        <v>0</v>
      </c>
      <c r="F14" s="23">
        <v>-675483</v>
      </c>
      <c r="G14" s="26">
        <f>D14+E14+F14-E13-F13</f>
        <v>-49278</v>
      </c>
      <c r="H14" s="132">
        <v>300</v>
      </c>
      <c r="I14" s="63">
        <v>-3250</v>
      </c>
      <c r="J14" s="63">
        <v>-400</v>
      </c>
      <c r="K14" s="170">
        <f t="shared" si="3"/>
        <v>-3350</v>
      </c>
      <c r="L14" s="171">
        <v>-19</v>
      </c>
      <c r="M14" s="154"/>
      <c r="N14" s="149">
        <f>L14+K14+G14+M14</f>
        <v>-52647</v>
      </c>
      <c r="O14" s="67">
        <f t="shared" si="1"/>
        <v>3190182.2687499998</v>
      </c>
      <c r="P14" s="7">
        <f t="shared" si="4"/>
        <v>25521458.149999999</v>
      </c>
      <c r="Q14" s="164">
        <f>Q13+N14</f>
        <v>3800741.45</v>
      </c>
      <c r="R14" s="29">
        <f t="shared" si="2"/>
        <v>2512.7743508537128</v>
      </c>
      <c r="S14" s="5">
        <f>SUM($Q$7:$Q14)/T14-1</f>
        <v>3792505.1999999997</v>
      </c>
      <c r="T14" s="17">
        <v>8</v>
      </c>
      <c r="U14" s="4"/>
      <c r="V14" s="4"/>
      <c r="W14" s="105">
        <v>-2262115</v>
      </c>
      <c r="X14" s="167"/>
      <c r="Y14" s="156">
        <f>Y13-K14-L14-32</f>
        <v>-2262015</v>
      </c>
      <c r="Z14" s="217"/>
      <c r="AA14" s="92"/>
    </row>
    <row r="15" spans="2:255">
      <c r="B15" s="116">
        <v>44413</v>
      </c>
      <c r="C15" s="14" t="str">
        <f t="shared" si="0"/>
        <v/>
      </c>
      <c r="D15" s="87"/>
      <c r="E15" s="87">
        <v>0</v>
      </c>
      <c r="F15" s="23">
        <v>-691394</v>
      </c>
      <c r="G15" s="26">
        <f>D15+E15+F15-E14-F14</f>
        <v>-15911</v>
      </c>
      <c r="H15" s="132">
        <v>300</v>
      </c>
      <c r="I15" s="63">
        <v>9400</v>
      </c>
      <c r="J15" s="63">
        <v>-400</v>
      </c>
      <c r="K15" s="170">
        <f t="shared" si="3"/>
        <v>9300</v>
      </c>
      <c r="L15" s="172">
        <v>-28</v>
      </c>
      <c r="M15" s="153"/>
      <c r="N15" s="149">
        <f>L15+K15+G15+M15</f>
        <v>-6639</v>
      </c>
      <c r="O15" s="67">
        <f t="shared" si="1"/>
        <v>3240514.7333333329</v>
      </c>
      <c r="P15" s="7">
        <f t="shared" si="4"/>
        <v>29164632.599999998</v>
      </c>
      <c r="Q15" s="164">
        <f>Q14+N15+1</f>
        <v>3794103.45</v>
      </c>
      <c r="R15" s="29">
        <f t="shared" si="2"/>
        <v>2512.8925999789449</v>
      </c>
      <c r="S15" s="5">
        <f>SUM($Q$7:$Q15)/T15</f>
        <v>3792683.6722222217</v>
      </c>
      <c r="T15" s="17">
        <v>9</v>
      </c>
      <c r="U15" s="4"/>
      <c r="V15" s="4"/>
      <c r="W15" s="105">
        <v>-2271488</v>
      </c>
      <c r="X15" s="167"/>
      <c r="Y15" s="156">
        <f>Y14-K15-L15-1</f>
        <v>-2271288</v>
      </c>
      <c r="Z15" s="217"/>
      <c r="AA15" s="92"/>
      <c r="AB15" s="92"/>
    </row>
    <row r="16" spans="2:255" s="69" customFormat="1">
      <c r="B16" s="116">
        <v>44414</v>
      </c>
      <c r="C16" s="14"/>
      <c r="D16" s="129"/>
      <c r="E16" s="87">
        <v>0</v>
      </c>
      <c r="F16" s="23">
        <v>-732155</v>
      </c>
      <c r="G16" s="26">
        <f>D16+E16+F16-E15-F15</f>
        <v>-40761</v>
      </c>
      <c r="H16" s="132">
        <v>300</v>
      </c>
      <c r="I16" s="63">
        <v>4600</v>
      </c>
      <c r="J16" s="63">
        <v>-400</v>
      </c>
      <c r="K16" s="170">
        <f t="shared" si="3"/>
        <v>4500</v>
      </c>
      <c r="L16" s="172">
        <v>-7</v>
      </c>
      <c r="M16" s="153"/>
      <c r="N16" s="152">
        <f>L16+K16+G16+M16</f>
        <v>-36268</v>
      </c>
      <c r="O16" s="67">
        <f t="shared" si="1"/>
        <v>3277154.0049999999</v>
      </c>
      <c r="P16" s="70">
        <f t="shared" si="4"/>
        <v>32771540.049999997</v>
      </c>
      <c r="Q16" s="164">
        <f>Q15+N16+1</f>
        <v>3757836.45</v>
      </c>
      <c r="R16" s="71">
        <f t="shared" si="2"/>
        <v>2510.5837513002803</v>
      </c>
      <c r="S16" s="72">
        <f>SUM($Q$7:$Q16)/T16</f>
        <v>3789198.95</v>
      </c>
      <c r="T16" s="73">
        <v>10</v>
      </c>
      <c r="U16" s="218"/>
      <c r="V16" s="133"/>
      <c r="W16" s="105">
        <v>-2276082</v>
      </c>
      <c r="X16" s="167"/>
      <c r="Y16" s="156">
        <f>Y15-K16-L16-1</f>
        <v>-2275782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44415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3307131.5909090908</v>
      </c>
      <c r="P17" s="7">
        <f t="shared" si="4"/>
        <v>36378447.5</v>
      </c>
      <c r="Q17" s="164">
        <f t="shared" si="5"/>
        <v>3757836.45</v>
      </c>
      <c r="R17" s="29">
        <f t="shared" si="2"/>
        <v>2508.6946932904639</v>
      </c>
      <c r="S17" s="5">
        <f>SUM($Q$7:$Q17)/T17</f>
        <v>3786347.8136363639</v>
      </c>
      <c r="T17" s="18">
        <v>11</v>
      </c>
      <c r="U17" s="27"/>
      <c r="V17" s="136"/>
      <c r="W17" s="105">
        <v>-2276082</v>
      </c>
      <c r="X17" s="167"/>
      <c r="Y17" s="156">
        <f t="shared" si="6"/>
        <v>-2275782</v>
      </c>
      <c r="Z17" s="217"/>
      <c r="AA17" s="92"/>
      <c r="AC17" s="92"/>
    </row>
    <row r="18" spans="2:31">
      <c r="B18" s="116">
        <v>44416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3332112.9125000001</v>
      </c>
      <c r="P18" s="7">
        <f t="shared" si="4"/>
        <v>39985354.950000003</v>
      </c>
      <c r="Q18" s="164">
        <f t="shared" si="5"/>
        <v>3757836.45</v>
      </c>
      <c r="R18" s="29">
        <f t="shared" si="2"/>
        <v>2507.1198157190915</v>
      </c>
      <c r="S18" s="5">
        <f>SUM($Q$7:$Q18)/T18-1</f>
        <v>3783970.8666666672</v>
      </c>
      <c r="T18" s="18">
        <v>12</v>
      </c>
      <c r="U18" s="27"/>
      <c r="V18" s="136"/>
      <c r="W18" s="105">
        <v>-2276082</v>
      </c>
      <c r="X18" s="167"/>
      <c r="Y18" s="156">
        <f t="shared" si="6"/>
        <v>-2275782</v>
      </c>
      <c r="Z18" s="217"/>
      <c r="AA18" s="92"/>
    </row>
    <row r="19" spans="2:31">
      <c r="B19" s="116">
        <v>44417</v>
      </c>
      <c r="C19" s="14" t="str">
        <f t="shared" si="0"/>
        <v/>
      </c>
      <c r="D19" s="87"/>
      <c r="E19" s="87">
        <v>401</v>
      </c>
      <c r="F19" s="23">
        <v>-248112</v>
      </c>
      <c r="G19" s="26">
        <f>D19+E19+F19-E16-F16</f>
        <v>484444</v>
      </c>
      <c r="H19" s="132">
        <v>300</v>
      </c>
      <c r="I19" s="63">
        <v>9250</v>
      </c>
      <c r="J19" s="63">
        <v>-100</v>
      </c>
      <c r="K19" s="170">
        <f t="shared" si="3"/>
        <v>9450</v>
      </c>
      <c r="L19" s="171">
        <v>10</v>
      </c>
      <c r="M19" s="153"/>
      <c r="N19" s="149">
        <f t="shared" si="7"/>
        <v>493904</v>
      </c>
      <c r="O19" s="67">
        <f t="shared" si="1"/>
        <v>3391243.5692307698</v>
      </c>
      <c r="P19" s="7">
        <f t="shared" si="4"/>
        <v>44086166.400000006</v>
      </c>
      <c r="Q19" s="164">
        <f>Q18+N19</f>
        <v>4251740.45</v>
      </c>
      <c r="R19" s="29">
        <f t="shared" si="2"/>
        <v>2530.960958718746</v>
      </c>
      <c r="S19" s="5">
        <f>SUM($Q$7:$Q19)/T19</f>
        <v>3819954.0653846161</v>
      </c>
      <c r="T19" s="18">
        <v>13</v>
      </c>
      <c r="U19" s="138">
        <f>B19</f>
        <v>44417</v>
      </c>
      <c r="V19" s="131">
        <v>2058.9</v>
      </c>
      <c r="W19" s="105">
        <v>-2285542</v>
      </c>
      <c r="X19" s="167">
        <f>AVERAGE(W20:W27)</f>
        <v>-2273128.875</v>
      </c>
      <c r="Y19" s="156">
        <f>Y18-K19-L19</f>
        <v>-2285242</v>
      </c>
      <c r="Z19" s="217">
        <f>AVERAGE(Y20:Y27)</f>
        <v>-2273334.375</v>
      </c>
      <c r="AA19" s="92"/>
    </row>
    <row r="20" spans="2:31">
      <c r="B20" s="116">
        <v>44418</v>
      </c>
      <c r="C20" s="14"/>
      <c r="D20" s="87"/>
      <c r="E20" s="87">
        <v>0</v>
      </c>
      <c r="F20" s="23">
        <v>-826307</v>
      </c>
      <c r="G20" s="26">
        <f>D20+E20+F20-E19-F19</f>
        <v>-578596</v>
      </c>
      <c r="H20" s="132">
        <v>300</v>
      </c>
      <c r="I20" s="63">
        <v>-2650</v>
      </c>
      <c r="J20" s="63">
        <v>-200</v>
      </c>
      <c r="K20" s="170">
        <f t="shared" si="3"/>
        <v>-2550</v>
      </c>
      <c r="L20" s="171">
        <v>-30</v>
      </c>
      <c r="M20" s="153"/>
      <c r="N20" s="149">
        <f t="shared" si="7"/>
        <v>-581176</v>
      </c>
      <c r="O20" s="67">
        <f t="shared" si="1"/>
        <v>3400414.4178571436</v>
      </c>
      <c r="P20" s="7">
        <f t="shared" si="4"/>
        <v>47605801.850000009</v>
      </c>
      <c r="Q20" s="164">
        <f>Q19+N20</f>
        <v>3670564.45</v>
      </c>
      <c r="R20" s="29">
        <f t="shared" si="2"/>
        <v>2523.8902918401559</v>
      </c>
      <c r="S20" s="5">
        <f>SUM($Q$7:$Q20)/T20-1</f>
        <v>3809282.3785714293</v>
      </c>
      <c r="T20" s="18">
        <v>14</v>
      </c>
      <c r="U20" s="138">
        <f>B19+8</f>
        <v>44425</v>
      </c>
      <c r="V20" s="131"/>
      <c r="W20" s="105">
        <v>-2282962</v>
      </c>
      <c r="X20" s="167"/>
      <c r="Y20" s="156">
        <f>Y19-K20-L20</f>
        <v>-2282662</v>
      </c>
      <c r="Z20" s="217"/>
      <c r="AA20" s="92"/>
      <c r="AB20" s="92"/>
    </row>
    <row r="21" spans="2:31">
      <c r="B21" s="116">
        <v>44419</v>
      </c>
      <c r="C21" s="14" t="str">
        <f t="shared" si="0"/>
        <v/>
      </c>
      <c r="D21" s="87">
        <f>-145+180</f>
        <v>35</v>
      </c>
      <c r="E21" s="87">
        <v>0</v>
      </c>
      <c r="F21" s="23">
        <v>-823191</v>
      </c>
      <c r="G21" s="26">
        <f>D21+E21+F21-E20-F20</f>
        <v>3151</v>
      </c>
      <c r="H21" s="132">
        <v>300</v>
      </c>
      <c r="I21" s="63">
        <v>-1050</v>
      </c>
      <c r="J21" s="63">
        <v>-200</v>
      </c>
      <c r="K21" s="170">
        <f t="shared" si="3"/>
        <v>-950</v>
      </c>
      <c r="L21" s="171">
        <v>-2</v>
      </c>
      <c r="M21" s="153"/>
      <c r="N21" s="149">
        <f>L21+K21+G21+M21</f>
        <v>2199</v>
      </c>
      <c r="O21" s="67">
        <f t="shared" si="1"/>
        <v>3408509.0200000009</v>
      </c>
      <c r="P21" s="7">
        <f t="shared" si="4"/>
        <v>51127635.300000012</v>
      </c>
      <c r="Q21" s="164">
        <f>Q20+N21-1</f>
        <v>3672762.45</v>
      </c>
      <c r="R21" s="29">
        <f t="shared" si="2"/>
        <v>2517.8600423598741</v>
      </c>
      <c r="S21" s="5">
        <f>SUM($Q$7:$Q21)/T21-1</f>
        <v>3800180.9833333343</v>
      </c>
      <c r="T21" s="18">
        <v>15</v>
      </c>
      <c r="U21" s="4"/>
      <c r="V21" s="131"/>
      <c r="W21" s="105">
        <v>-2282009</v>
      </c>
      <c r="X21" s="167"/>
      <c r="Y21" s="156">
        <f>Y20-K21-L21+1</f>
        <v>-2281709</v>
      </c>
      <c r="Z21" s="217"/>
      <c r="AA21" s="92"/>
    </row>
    <row r="22" spans="2:31">
      <c r="B22" s="116">
        <v>44420</v>
      </c>
      <c r="C22" s="14" t="str">
        <f t="shared" si="0"/>
        <v/>
      </c>
      <c r="D22" s="87"/>
      <c r="E22" s="87">
        <v>0</v>
      </c>
      <c r="F22" s="23">
        <v>-814928</v>
      </c>
      <c r="G22" s="26">
        <f>D22+E22+F22-E21-F21</f>
        <v>8263</v>
      </c>
      <c r="H22" s="132">
        <v>300</v>
      </c>
      <c r="I22" s="63">
        <v>-2200</v>
      </c>
      <c r="J22" s="63">
        <v>-300</v>
      </c>
      <c r="K22" s="170">
        <f t="shared" si="3"/>
        <v>-2200</v>
      </c>
      <c r="L22" s="171">
        <v>-19</v>
      </c>
      <c r="M22" s="153"/>
      <c r="N22" s="149">
        <f>L22+K22+G22+M22</f>
        <v>6044</v>
      </c>
      <c r="O22" s="67">
        <f t="shared" si="1"/>
        <v>3415969.5468750009</v>
      </c>
      <c r="P22" s="7">
        <f t="shared" si="4"/>
        <v>54655512.750000015</v>
      </c>
      <c r="Q22" s="164">
        <f>Q21+N22</f>
        <v>3678806.45</v>
      </c>
      <c r="R22" s="29">
        <f t="shared" si="2"/>
        <v>2512.833857310392</v>
      </c>
      <c r="S22" s="5">
        <f>SUM($Q$7:$Q22)/T22-1</f>
        <v>3792595.0125000011</v>
      </c>
      <c r="T22" s="18">
        <v>16</v>
      </c>
      <c r="U22" s="4"/>
      <c r="V22" s="131"/>
      <c r="W22" s="105">
        <v>-2279790</v>
      </c>
      <c r="X22" s="167"/>
      <c r="Y22" s="156">
        <f>Y21-K22-L22</f>
        <v>-2279490</v>
      </c>
      <c r="Z22" s="217"/>
      <c r="AA22" s="92"/>
    </row>
    <row r="23" spans="2:31">
      <c r="B23" s="116">
        <v>44421</v>
      </c>
      <c r="C23" s="14"/>
      <c r="D23" s="87"/>
      <c r="E23" s="87">
        <v>0</v>
      </c>
      <c r="F23" s="23">
        <v>-811414</v>
      </c>
      <c r="G23" s="26">
        <f>D23+E23+F23-E22-F22</f>
        <v>3514</v>
      </c>
      <c r="H23" s="132">
        <v>300</v>
      </c>
      <c r="I23" s="63">
        <v>-8000</v>
      </c>
      <c r="J23" s="63">
        <v>-300</v>
      </c>
      <c r="K23" s="170">
        <f t="shared" si="3"/>
        <v>-8000</v>
      </c>
      <c r="L23" s="171">
        <v>30</v>
      </c>
      <c r="M23" s="153"/>
      <c r="N23" s="149">
        <f>L23+K23+G23+M23</f>
        <v>-4456</v>
      </c>
      <c r="O23" s="67">
        <f t="shared" si="1"/>
        <v>3422290.4823529422</v>
      </c>
      <c r="P23" s="7">
        <f t="shared" si="4"/>
        <v>58178938.200000018</v>
      </c>
      <c r="Q23" s="164">
        <f>Q22+N23+4</f>
        <v>3674354.45</v>
      </c>
      <c r="R23" s="29">
        <f t="shared" si="2"/>
        <v>2508.226137104592</v>
      </c>
      <c r="S23" s="5">
        <f>SUM($Q$7:$Q23)/T23</f>
        <v>3785640.6264705895</v>
      </c>
      <c r="T23" s="18">
        <v>17</v>
      </c>
      <c r="U23" s="27"/>
      <c r="V23" s="135"/>
      <c r="W23" s="105">
        <v>-2271820</v>
      </c>
      <c r="X23" s="167"/>
      <c r="Y23" s="156">
        <f>Y22-K23-L23</f>
        <v>-2271520</v>
      </c>
      <c r="Z23" s="217"/>
      <c r="AA23" s="92"/>
    </row>
    <row r="24" spans="2:31">
      <c r="B24" s="116">
        <v>44422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3427909.0916666677</v>
      </c>
      <c r="P24" s="7">
        <f t="shared" si="4"/>
        <v>61702363.650000021</v>
      </c>
      <c r="Q24" s="164">
        <f>Q23+N24</f>
        <v>3674354.45</v>
      </c>
      <c r="R24" s="29">
        <f t="shared" si="2"/>
        <v>2504.1297968654881</v>
      </c>
      <c r="S24" s="5">
        <f>SUM($Q$7:$Q24)/T24</f>
        <v>3779458.0611111126</v>
      </c>
      <c r="T24" s="18">
        <v>18</v>
      </c>
      <c r="U24" s="4"/>
      <c r="V24" s="135"/>
      <c r="W24" s="105">
        <v>-2271820</v>
      </c>
      <c r="X24" s="167"/>
      <c r="Y24" s="156">
        <f t="shared" si="6"/>
        <v>-2271520</v>
      </c>
      <c r="Z24" s="217"/>
      <c r="AA24" s="92"/>
      <c r="AD24" s="1"/>
      <c r="AE24" s="1"/>
    </row>
    <row r="25" spans="2:31">
      <c r="B25" s="116">
        <v>44423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3432936.2684210539</v>
      </c>
      <c r="P25" s="7">
        <f t="shared" si="4"/>
        <v>65225789.100000024</v>
      </c>
      <c r="Q25" s="164">
        <f>Q24+N25</f>
        <v>3674354.45</v>
      </c>
      <c r="R25" s="29">
        <f t="shared" si="2"/>
        <v>2500.4639877725717</v>
      </c>
      <c r="S25" s="5">
        <f>SUM($Q$7:$Q25)/T25-1</f>
        <v>3773925.2921052645</v>
      </c>
      <c r="T25" s="18">
        <v>19</v>
      </c>
      <c r="U25" s="4"/>
      <c r="V25" s="131"/>
      <c r="W25" s="105">
        <v>-2271820</v>
      </c>
      <c r="X25" s="167"/>
      <c r="Y25" s="156">
        <f t="shared" si="6"/>
        <v>-2271520</v>
      </c>
      <c r="Z25" s="217"/>
      <c r="AA25" s="92"/>
      <c r="AD25" s="1"/>
      <c r="AE25" s="1"/>
    </row>
    <row r="26" spans="2:31">
      <c r="B26" s="116">
        <v>44424</v>
      </c>
      <c r="C26" s="14"/>
      <c r="D26" s="87"/>
      <c r="E26" s="87">
        <v>0</v>
      </c>
      <c r="F26" s="23">
        <v>-810468</v>
      </c>
      <c r="G26" s="26">
        <f>D26+E26+F26-E23-F23</f>
        <v>946</v>
      </c>
      <c r="H26" s="132">
        <v>2800</v>
      </c>
      <c r="I26" s="63">
        <v>-8400</v>
      </c>
      <c r="J26" s="63">
        <v>200</v>
      </c>
      <c r="K26" s="170">
        <f t="shared" si="3"/>
        <v>-5400</v>
      </c>
      <c r="L26" s="171">
        <v>29</v>
      </c>
      <c r="M26" s="153"/>
      <c r="N26" s="149">
        <f t="shared" si="7"/>
        <v>-4425</v>
      </c>
      <c r="O26" s="67">
        <f t="shared" si="1"/>
        <v>3437239.2775000012</v>
      </c>
      <c r="P26" s="7">
        <f t="shared" si="4"/>
        <v>68744785.550000027</v>
      </c>
      <c r="Q26" s="164">
        <f>Q25+N26-4</f>
        <v>3669925.45</v>
      </c>
      <c r="R26" s="29">
        <f t="shared" si="2"/>
        <v>2497.0186312769588</v>
      </c>
      <c r="S26" s="5">
        <f>SUM($Q$7:$Q26)/T26-1</f>
        <v>3768725.2500000014</v>
      </c>
      <c r="T26" s="18">
        <v>20</v>
      </c>
      <c r="U26" s="138">
        <f>B26</f>
        <v>44424</v>
      </c>
      <c r="V26" s="131">
        <v>2095.6</v>
      </c>
      <c r="W26" s="105">
        <v>-2262405</v>
      </c>
      <c r="X26" s="167">
        <f>AVERAGE(W26:W34)</f>
        <v>-2255098.888888889</v>
      </c>
      <c r="Y26" s="156">
        <f>Y25-K26-L26</f>
        <v>-2266149</v>
      </c>
      <c r="Z26" s="217">
        <f>AVERAGE(Y26:Y34)</f>
        <v>-2255198.222222222</v>
      </c>
      <c r="AC26" s="92"/>
      <c r="AD26" s="1"/>
      <c r="AE26" s="1"/>
    </row>
    <row r="27" spans="2:31">
      <c r="B27" s="116">
        <v>44425</v>
      </c>
      <c r="C27" s="14" t="str">
        <f t="shared" si="0"/>
        <v/>
      </c>
      <c r="D27" s="87"/>
      <c r="E27" s="87">
        <v>84</v>
      </c>
      <c r="F27" s="23">
        <v>-811269</v>
      </c>
      <c r="G27" s="26">
        <f>D27+E27+F27-E26-F26</f>
        <v>-717</v>
      </c>
      <c r="H27" s="132">
        <v>300</v>
      </c>
      <c r="I27" s="63">
        <v>-4500</v>
      </c>
      <c r="J27" s="63">
        <v>200</v>
      </c>
      <c r="K27" s="170">
        <f t="shared" si="3"/>
        <v>-4000</v>
      </c>
      <c r="L27" s="171">
        <v>-45</v>
      </c>
      <c r="M27" s="153"/>
      <c r="N27" s="149">
        <f>L27+K27+G27+M27</f>
        <v>-4762</v>
      </c>
      <c r="O27" s="67">
        <f t="shared" si="1"/>
        <v>3440905.7142857155</v>
      </c>
      <c r="P27" s="7">
        <f t="shared" si="4"/>
        <v>72259020.00000003</v>
      </c>
      <c r="Q27" s="164">
        <f>Q26+N27</f>
        <v>3665163.45</v>
      </c>
      <c r="R27" s="29">
        <f t="shared" si="2"/>
        <v>2493.7511598799697</v>
      </c>
      <c r="S27" s="5">
        <f>SUM($Q$7:$Q27)/T27-1</f>
        <v>3763793.6880952395</v>
      </c>
      <c r="T27" s="18">
        <v>21</v>
      </c>
      <c r="U27" s="138">
        <f>B28+6</f>
        <v>44432</v>
      </c>
      <c r="V27" s="159"/>
      <c r="W27" s="105">
        <v>-2262405</v>
      </c>
      <c r="X27" s="167"/>
      <c r="Y27" s="156">
        <f>Y26-K27-L27-1</f>
        <v>-2262105</v>
      </c>
      <c r="Z27" s="217"/>
      <c r="AA27" s="92"/>
      <c r="AD27" s="1"/>
      <c r="AE27" s="1"/>
    </row>
    <row r="28" spans="2:31">
      <c r="B28" s="116">
        <v>44426</v>
      </c>
      <c r="C28" s="14" t="str">
        <f t="shared" si="0"/>
        <v/>
      </c>
      <c r="D28" s="87">
        <f>-180+197</f>
        <v>17</v>
      </c>
      <c r="E28" s="87">
        <v>50</v>
      </c>
      <c r="F28" s="23">
        <v>-803768</v>
      </c>
      <c r="G28" s="26">
        <f>D28+E28+F28-E27-F27</f>
        <v>7484</v>
      </c>
      <c r="H28" s="132">
        <v>300</v>
      </c>
      <c r="I28" s="63">
        <v>-14300</v>
      </c>
      <c r="J28" s="63">
        <v>200</v>
      </c>
      <c r="K28" s="170">
        <f t="shared" si="3"/>
        <v>-13800</v>
      </c>
      <c r="L28" s="171">
        <v>22</v>
      </c>
      <c r="M28" s="153"/>
      <c r="N28" s="149">
        <f>L28+K28+G28+M28</f>
        <v>-6294</v>
      </c>
      <c r="O28" s="67">
        <f t="shared" si="1"/>
        <v>3443952.8386363653</v>
      </c>
      <c r="P28" s="7">
        <f t="shared" si="4"/>
        <v>75766962.450000033</v>
      </c>
      <c r="Q28" s="164">
        <f>Q27+N28+2</f>
        <v>3658871.45</v>
      </c>
      <c r="R28" s="29">
        <f t="shared" si="2"/>
        <v>2490.5912382643505</v>
      </c>
      <c r="S28" s="5">
        <f>SUM($Q$7:$Q28)/T28-1</f>
        <v>3759024.4500000016</v>
      </c>
      <c r="T28" s="18">
        <v>22</v>
      </c>
      <c r="U28" s="4"/>
      <c r="V28" s="131"/>
      <c r="W28" s="105">
        <v>-2248627</v>
      </c>
      <c r="X28" s="167"/>
      <c r="Y28" s="156">
        <f>Y27-K28-L28</f>
        <v>-2248327</v>
      </c>
      <c r="Z28" s="217"/>
      <c r="AA28" s="92"/>
      <c r="AD28" s="1"/>
      <c r="AE28" s="1"/>
    </row>
    <row r="29" spans="2:31">
      <c r="B29" s="116">
        <v>44427</v>
      </c>
      <c r="C29" s="14" t="str">
        <f t="shared" si="0"/>
        <v/>
      </c>
      <c r="D29" s="87"/>
      <c r="E29" s="87">
        <v>35</v>
      </c>
      <c r="F29" s="23">
        <v>-804290</v>
      </c>
      <c r="G29" s="26">
        <f>D29+E29+F29-E28-F28</f>
        <v>-537</v>
      </c>
      <c r="H29" s="132">
        <v>300</v>
      </c>
      <c r="I29" s="63">
        <v>-1800</v>
      </c>
      <c r="J29" s="63">
        <v>100</v>
      </c>
      <c r="K29" s="170">
        <f t="shared" si="3"/>
        <v>-1400</v>
      </c>
      <c r="L29" s="171">
        <v>-30</v>
      </c>
      <c r="M29" s="153"/>
      <c r="N29" s="149">
        <f>L29+K29+G29+M29</f>
        <v>-1967</v>
      </c>
      <c r="O29" s="67">
        <f t="shared" si="1"/>
        <v>3446649.5608695666</v>
      </c>
      <c r="P29" s="7">
        <f t="shared" si="4"/>
        <v>79272939.900000036</v>
      </c>
      <c r="Q29" s="164">
        <f>Q28+N29+2</f>
        <v>3656906.45</v>
      </c>
      <c r="R29" s="29">
        <f t="shared" si="2"/>
        <v>2487.6494864991237</v>
      </c>
      <c r="S29" s="5">
        <f>SUM($Q$7:$Q29)/T29-1</f>
        <v>3754584.4934782623</v>
      </c>
      <c r="T29" s="18">
        <v>23</v>
      </c>
      <c r="U29" s="4"/>
      <c r="V29" s="131"/>
      <c r="W29" s="105">
        <v>-2247199</v>
      </c>
      <c r="X29" s="167"/>
      <c r="Y29" s="156">
        <f>Y28-K29-L29-2</f>
        <v>-2246899</v>
      </c>
      <c r="Z29" s="217"/>
      <c r="AA29" s="92"/>
      <c r="AD29" s="1"/>
      <c r="AE29" s="1"/>
    </row>
    <row r="30" spans="2:31">
      <c r="B30" s="116">
        <v>44428</v>
      </c>
      <c r="C30" s="14" t="str">
        <f t="shared" si="0"/>
        <v/>
      </c>
      <c r="D30" s="87"/>
      <c r="E30" s="87">
        <v>0</v>
      </c>
      <c r="F30" s="23">
        <v>-804713</v>
      </c>
      <c r="G30" s="26">
        <f>D30+E30+F30-E29-F29</f>
        <v>-458</v>
      </c>
      <c r="H30" s="132">
        <v>300</v>
      </c>
      <c r="I30" s="25">
        <v>7810</v>
      </c>
      <c r="J30" s="25">
        <v>100</v>
      </c>
      <c r="K30" s="170">
        <f t="shared" si="3"/>
        <v>8210</v>
      </c>
      <c r="L30" s="171">
        <v>-20</v>
      </c>
      <c r="M30" s="153"/>
      <c r="N30" s="149">
        <f>L30+K30+G30+M30</f>
        <v>7732</v>
      </c>
      <c r="O30" s="67">
        <f t="shared" si="1"/>
        <v>3449443.6812500018</v>
      </c>
      <c r="P30" s="7">
        <f t="shared" si="4"/>
        <v>82786648.350000039</v>
      </c>
      <c r="Q30" s="164">
        <f>Q29+N30-1</f>
        <v>3664637.45</v>
      </c>
      <c r="R30" s="29">
        <f t="shared" si="2"/>
        <v>2485.1709468248878</v>
      </c>
      <c r="S30" s="5">
        <f>SUM($Q$7:$Q30)/T30+6</f>
        <v>3750843.6583333351</v>
      </c>
      <c r="T30" s="18">
        <v>24</v>
      </c>
      <c r="U30" s="4"/>
      <c r="V30" s="131"/>
      <c r="W30" s="105">
        <v>-2255479</v>
      </c>
      <c r="X30" s="167"/>
      <c r="Y30" s="156">
        <f>Y29-K30-L30</f>
        <v>-2255089</v>
      </c>
      <c r="Z30" s="217"/>
      <c r="AA30" s="92"/>
      <c r="AD30" s="1"/>
      <c r="AE30" s="1"/>
    </row>
    <row r="31" spans="2:31">
      <c r="B31" s="116">
        <v>44429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3452014.2720000017</v>
      </c>
      <c r="P31" s="7">
        <f t="shared" si="4"/>
        <v>86300356.800000042</v>
      </c>
      <c r="Q31" s="164">
        <f t="shared" ref="Q31:Q46" si="8">Q30+N31</f>
        <v>3664637.45</v>
      </c>
      <c r="R31" s="29">
        <f t="shared" si="2"/>
        <v>2482.8837731648669</v>
      </c>
      <c r="S31" s="5">
        <f>SUM($Q$7:$Q31)/T31+2</f>
        <v>3747391.6500000018</v>
      </c>
      <c r="T31" s="18">
        <v>25</v>
      </c>
      <c r="U31" s="4"/>
      <c r="V31" s="137"/>
      <c r="W31" s="105">
        <v>-2255479</v>
      </c>
      <c r="X31" s="167"/>
      <c r="Y31" s="156">
        <f t="shared" si="6"/>
        <v>-2255089</v>
      </c>
      <c r="Z31" s="217"/>
      <c r="AA31" s="92"/>
      <c r="AB31" s="92"/>
      <c r="AD31" s="1"/>
      <c r="AE31" s="1"/>
    </row>
    <row r="32" spans="2:31">
      <c r="B32" s="116">
        <v>44430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3454387.1250000019</v>
      </c>
      <c r="P32" s="7">
        <f t="shared" si="4"/>
        <v>89814065.250000045</v>
      </c>
      <c r="Q32" s="164">
        <f t="shared" si="8"/>
        <v>3664637.45</v>
      </c>
      <c r="R32" s="29">
        <f t="shared" si="2"/>
        <v>2480.7696818218665</v>
      </c>
      <c r="S32" s="5">
        <f>SUM($Q$7:$Q32)/T32-6</f>
        <v>3744200.8730769251</v>
      </c>
      <c r="T32" s="18">
        <v>26</v>
      </c>
      <c r="U32" s="27"/>
      <c r="V32" s="137"/>
      <c r="W32" s="105">
        <v>-2255479</v>
      </c>
      <c r="X32" s="167"/>
      <c r="Y32" s="156">
        <f t="shared" si="6"/>
        <v>-2255089</v>
      </c>
      <c r="Z32" s="217"/>
      <c r="AD32" s="1"/>
      <c r="AE32" s="1"/>
    </row>
    <row r="33" spans="2:31">
      <c r="B33" s="116">
        <v>44431</v>
      </c>
      <c r="C33" s="14" t="str">
        <f t="shared" si="0"/>
        <v/>
      </c>
      <c r="D33" s="87"/>
      <c r="E33" s="87">
        <v>1</v>
      </c>
      <c r="F33" s="23">
        <v>-800241</v>
      </c>
      <c r="G33" s="26">
        <f>D33+E33+F33-E30-F30</f>
        <v>4473</v>
      </c>
      <c r="H33" s="132">
        <v>2800</v>
      </c>
      <c r="I33" s="25">
        <v>1700</v>
      </c>
      <c r="J33" s="25">
        <v>100</v>
      </c>
      <c r="K33" s="170">
        <f t="shared" si="3"/>
        <v>4600</v>
      </c>
      <c r="L33" s="171">
        <v>41</v>
      </c>
      <c r="M33" s="153"/>
      <c r="N33" s="149">
        <f t="shared" si="7"/>
        <v>9114</v>
      </c>
      <c r="O33" s="67">
        <f t="shared" si="1"/>
        <v>3456921.7666666685</v>
      </c>
      <c r="P33" s="7">
        <f t="shared" si="4"/>
        <v>93336887.700000048</v>
      </c>
      <c r="Q33" s="164">
        <f>Q32+N33</f>
        <v>3673751.45</v>
      </c>
      <c r="R33" s="29">
        <f t="shared" si="2"/>
        <v>2479.0440624154166</v>
      </c>
      <c r="S33" s="5">
        <f>SUM($Q$7:$Q33)/T33-1</f>
        <v>3741596.4129629647</v>
      </c>
      <c r="T33" s="18">
        <v>27</v>
      </c>
      <c r="U33" s="138">
        <f>B33</f>
        <v>44431</v>
      </c>
      <c r="V33" s="131">
        <v>2122.4</v>
      </c>
      <c r="W33" s="105">
        <v>-2260120</v>
      </c>
      <c r="X33" s="167">
        <f>AVERAGE(W33:W41)</f>
        <v>-2248130.888888889</v>
      </c>
      <c r="Y33" s="156">
        <f>Y32-K33-L33</f>
        <v>-2259730</v>
      </c>
      <c r="Z33" s="217">
        <f>AVERAGE(Y33:Y41)</f>
        <v>-2247957.5555555555</v>
      </c>
      <c r="AD33" s="1"/>
      <c r="AE33" s="1"/>
    </row>
    <row r="34" spans="2:31">
      <c r="B34" s="116">
        <v>44432</v>
      </c>
      <c r="C34" s="14" t="str">
        <f t="shared" si="0"/>
        <v/>
      </c>
      <c r="D34" s="87"/>
      <c r="E34" s="87">
        <v>3</v>
      </c>
      <c r="F34" s="23">
        <v>-786846</v>
      </c>
      <c r="G34" s="26">
        <f>D34+E34+F34-E33-F33</f>
        <v>13397</v>
      </c>
      <c r="H34" s="132">
        <v>-17300</v>
      </c>
      <c r="I34" s="25">
        <v>5900</v>
      </c>
      <c r="J34" s="25">
        <v>0</v>
      </c>
      <c r="K34" s="170">
        <f t="shared" si="3"/>
        <v>-11400</v>
      </c>
      <c r="L34" s="171">
        <v>-23</v>
      </c>
      <c r="M34" s="153"/>
      <c r="N34" s="149">
        <f>L34+K34+G34+M34</f>
        <v>1974</v>
      </c>
      <c r="O34" s="67">
        <f t="shared" si="1"/>
        <v>3459345.8625000017</v>
      </c>
      <c r="P34" s="7">
        <f t="shared" si="4"/>
        <v>96861684.150000051</v>
      </c>
      <c r="Q34" s="164">
        <f>Q33+N34</f>
        <v>3675725.45</v>
      </c>
      <c r="R34" s="29">
        <f t="shared" si="2"/>
        <v>2477.4859986199767</v>
      </c>
      <c r="S34" s="5">
        <f>SUM($Q$7:$Q34)/T34</f>
        <v>3739244.8428571448</v>
      </c>
      <c r="T34" s="18">
        <v>28</v>
      </c>
      <c r="U34" s="138">
        <f>B33+8</f>
        <v>44439</v>
      </c>
      <c r="V34" s="131"/>
      <c r="W34" s="105">
        <v>-2248697</v>
      </c>
      <c r="X34" s="167"/>
      <c r="Y34" s="156">
        <f>Y33-K34-L34</f>
        <v>-2248307</v>
      </c>
      <c r="Z34" s="217"/>
      <c r="AA34" s="92"/>
      <c r="AD34" s="1"/>
      <c r="AE34" s="1"/>
    </row>
    <row r="35" spans="2:31">
      <c r="B35" s="116">
        <v>44433</v>
      </c>
      <c r="C35" s="14" t="str">
        <f t="shared" si="0"/>
        <v/>
      </c>
      <c r="D35" s="87">
        <f>-197+112</f>
        <v>-85</v>
      </c>
      <c r="E35" s="87">
        <v>0</v>
      </c>
      <c r="F35" s="23">
        <v>-797036</v>
      </c>
      <c r="G35" s="26">
        <f>D35+E35+F35-E34-F34</f>
        <v>-10278</v>
      </c>
      <c r="H35" s="132">
        <v>-12100</v>
      </c>
      <c r="I35" s="25">
        <v>2500</v>
      </c>
      <c r="J35" s="25">
        <v>-100</v>
      </c>
      <c r="K35" s="170">
        <f t="shared" si="3"/>
        <v>-9700</v>
      </c>
      <c r="L35" s="171">
        <v>-28</v>
      </c>
      <c r="M35" s="153"/>
      <c r="N35" s="149">
        <f t="shared" si="7"/>
        <v>-20006</v>
      </c>
      <c r="O35" s="67">
        <f t="shared" si="1"/>
        <v>3460912.9862068985</v>
      </c>
      <c r="P35" s="7">
        <f t="shared" si="4"/>
        <v>100366476.60000005</v>
      </c>
      <c r="Q35" s="164">
        <f>Q34+N35+2</f>
        <v>3655721.45</v>
      </c>
      <c r="R35" s="29">
        <f t="shared" si="2"/>
        <v>2475.5777391104898</v>
      </c>
      <c r="S35" s="5">
        <f>SUM($Q$7:$Q35)/T35</f>
        <v>3736364.7258620709</v>
      </c>
      <c r="T35" s="18">
        <v>29</v>
      </c>
      <c r="U35" s="4"/>
      <c r="V35" s="131"/>
      <c r="W35" s="105">
        <v>-2238970</v>
      </c>
      <c r="X35" s="167"/>
      <c r="Y35" s="156">
        <f>Y34-K35-L35-1</f>
        <v>-2238580</v>
      </c>
      <c r="Z35" s="217"/>
      <c r="AA35" s="92"/>
      <c r="AD35" s="1"/>
      <c r="AE35" s="1"/>
    </row>
    <row r="36" spans="2:31">
      <c r="B36" s="116">
        <v>44434</v>
      </c>
      <c r="C36" s="14" t="str">
        <f t="shared" si="0"/>
        <v/>
      </c>
      <c r="D36" s="87">
        <f>-40-794-1008+48</f>
        <v>-1794</v>
      </c>
      <c r="E36" s="87">
        <v>0</v>
      </c>
      <c r="F36" s="23">
        <v>-800442</v>
      </c>
      <c r="G36" s="26">
        <f>D36+E36+F36-E35-F35</f>
        <v>-5200</v>
      </c>
      <c r="H36" s="132">
        <v>-200</v>
      </c>
      <c r="I36" s="25">
        <v>-8000</v>
      </c>
      <c r="J36" s="25">
        <v>-100</v>
      </c>
      <c r="K36" s="170">
        <f t="shared" si="3"/>
        <v>-8300</v>
      </c>
      <c r="L36" s="171">
        <v>-9</v>
      </c>
      <c r="M36" s="153"/>
      <c r="N36" s="149">
        <f t="shared" si="7"/>
        <v>-13509</v>
      </c>
      <c r="O36" s="67">
        <f t="shared" si="1"/>
        <v>3461925.2350000017</v>
      </c>
      <c r="P36" s="7">
        <f t="shared" si="4"/>
        <v>103857757.05000006</v>
      </c>
      <c r="Q36" s="164">
        <f>Q35+N36-3</f>
        <v>3642209.45</v>
      </c>
      <c r="R36" s="29">
        <f t="shared" si="2"/>
        <v>2473.4823769233672</v>
      </c>
      <c r="S36" s="5">
        <f>SUM($Q$7:$Q36)/T36-24</f>
        <v>3733202.2166666687</v>
      </c>
      <c r="T36" s="18">
        <v>30</v>
      </c>
      <c r="U36" s="4"/>
      <c r="V36" s="136"/>
      <c r="W36" s="105">
        <v>-2230658</v>
      </c>
      <c r="X36" s="167"/>
      <c r="Y36" s="156">
        <f>Y35-K36-L36+3</f>
        <v>-2230268</v>
      </c>
      <c r="Z36" s="217"/>
      <c r="AD36" s="1"/>
      <c r="AE36" s="1"/>
    </row>
    <row r="37" spans="2:31">
      <c r="B37" s="116">
        <v>44435</v>
      </c>
      <c r="C37" s="14" t="str">
        <f t="shared" si="0"/>
        <v/>
      </c>
      <c r="D37" s="87"/>
      <c r="E37" s="87">
        <v>0</v>
      </c>
      <c r="F37" s="23">
        <v>-789221</v>
      </c>
      <c r="G37" s="26">
        <f>D37+E37+F37-E36-F36</f>
        <v>11221</v>
      </c>
      <c r="H37" s="132">
        <v>-3700</v>
      </c>
      <c r="I37" s="25">
        <v>13400</v>
      </c>
      <c r="J37" s="25">
        <v>-100</v>
      </c>
      <c r="K37" s="170">
        <f t="shared" si="3"/>
        <v>9600</v>
      </c>
      <c r="L37" s="171">
        <v>-30</v>
      </c>
      <c r="M37" s="153"/>
      <c r="N37" s="149">
        <f t="shared" si="7"/>
        <v>20791</v>
      </c>
      <c r="O37" s="67">
        <f t="shared" si="1"/>
        <v>3463542.7903225827</v>
      </c>
      <c r="P37" s="7">
        <f t="shared" si="4"/>
        <v>107369826.50000006</v>
      </c>
      <c r="Q37" s="164">
        <f>Q36+N37-2</f>
        <v>3662998.45</v>
      </c>
      <c r="R37" s="29">
        <f t="shared" si="2"/>
        <v>2471.997962511321</v>
      </c>
      <c r="S37" s="5">
        <f>SUM($Q$7:$Q37)/T37+1</f>
        <v>3730961.8048387119</v>
      </c>
      <c r="T37" s="18">
        <v>31</v>
      </c>
      <c r="U37" s="27"/>
      <c r="V37" s="137"/>
      <c r="W37" s="105">
        <v>-2239836</v>
      </c>
      <c r="X37" s="167"/>
      <c r="Y37" s="156">
        <f>Y36-K37-L37+2</f>
        <v>-2239836</v>
      </c>
      <c r="Z37" s="217"/>
      <c r="AA37" s="92"/>
      <c r="AD37" s="1"/>
      <c r="AE37" s="1"/>
    </row>
    <row r="38" spans="2:31">
      <c r="B38" s="116">
        <v>44436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3465059.248437502</v>
      </c>
      <c r="P38" s="7">
        <f t="shared" si="4"/>
        <v>110881895.95000006</v>
      </c>
      <c r="Q38" s="164">
        <f t="shared" si="8"/>
        <v>3662998.45</v>
      </c>
      <c r="R38" s="29">
        <f t="shared" si="2"/>
        <v>2470.5901326120243</v>
      </c>
      <c r="S38" s="5">
        <f>SUM($Q$7:$Q38)/T38</f>
        <v>3728836.981250002</v>
      </c>
      <c r="T38" s="18">
        <v>32</v>
      </c>
      <c r="U38" s="27"/>
      <c r="V38" s="137"/>
      <c r="W38" s="105">
        <v>-2239836</v>
      </c>
      <c r="X38" s="167"/>
      <c r="Y38" s="156">
        <f t="shared" si="6"/>
        <v>-2239836</v>
      </c>
      <c r="Z38" s="217"/>
      <c r="AD38" s="1"/>
      <c r="AE38" s="1"/>
    </row>
    <row r="39" spans="2:31">
      <c r="B39" s="116">
        <v>44437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3466483.8000000021</v>
      </c>
      <c r="P39" s="7">
        <f t="shared" si="4"/>
        <v>114393965.40000007</v>
      </c>
      <c r="Q39" s="164">
        <f t="shared" si="8"/>
        <v>3662998.45</v>
      </c>
      <c r="R39" s="29">
        <f t="shared" si="2"/>
        <v>2469.2695732711582</v>
      </c>
      <c r="S39" s="5">
        <f>SUM($Q$7:$Q39)/T39+2</f>
        <v>3726843.8742424264</v>
      </c>
      <c r="T39" s="18">
        <v>33</v>
      </c>
      <c r="U39" s="27"/>
      <c r="V39" s="137"/>
      <c r="W39" s="105">
        <v>-2239836</v>
      </c>
      <c r="X39" s="167"/>
      <c r="Y39" s="156">
        <f t="shared" si="6"/>
        <v>-2239836</v>
      </c>
      <c r="Z39" s="217"/>
      <c r="AD39" s="1"/>
      <c r="AE39" s="1"/>
    </row>
    <row r="40" spans="2:31">
      <c r="B40" s="116">
        <v>44438</v>
      </c>
      <c r="C40" s="14" t="str">
        <f t="shared" si="0"/>
        <v/>
      </c>
      <c r="D40" s="87"/>
      <c r="E40" s="87">
        <v>0</v>
      </c>
      <c r="F40" s="23">
        <v>-796140</v>
      </c>
      <c r="G40" s="26">
        <f>D40+E40+F40-E37-F37</f>
        <v>-6919</v>
      </c>
      <c r="H40" s="132">
        <v>300</v>
      </c>
      <c r="I40" s="25">
        <v>18400</v>
      </c>
      <c r="J40" s="25">
        <v>-100</v>
      </c>
      <c r="K40" s="170">
        <f t="shared" si="3"/>
        <v>18600</v>
      </c>
      <c r="L40" s="171">
        <v>16</v>
      </c>
      <c r="M40" s="153"/>
      <c r="N40" s="149">
        <f t="shared" si="7"/>
        <v>11697</v>
      </c>
      <c r="O40" s="67">
        <f t="shared" si="1"/>
        <v>3468168.5544117666</v>
      </c>
      <c r="P40" s="7">
        <f t="shared" si="4"/>
        <v>117917730.85000007</v>
      </c>
      <c r="Q40" s="164">
        <f>Q39+N40-1</f>
        <v>3674694.45</v>
      </c>
      <c r="R40" s="29">
        <f t="shared" si="2"/>
        <v>2468.2527058885903</v>
      </c>
      <c r="S40" s="5">
        <f>SUM($Q$7:$Q40)/T40+1</f>
        <v>3725309.1264705905</v>
      </c>
      <c r="T40" s="18">
        <v>34</v>
      </c>
      <c r="U40" s="138">
        <f>B40</f>
        <v>44438</v>
      </c>
      <c r="V40" s="131">
        <v>2052.8000000000002</v>
      </c>
      <c r="W40" s="105">
        <v>-2258451</v>
      </c>
      <c r="X40" s="167">
        <f>AVERAGE(W40:W48)</f>
        <v>-2317269.3333333335</v>
      </c>
      <c r="Y40" s="156">
        <f>Y39-K40-L40+1</f>
        <v>-2258451</v>
      </c>
      <c r="Z40" s="217">
        <f>AVERAGE(Y40:Y48)</f>
        <v>-2317269.3333333335</v>
      </c>
      <c r="AD40" s="1"/>
      <c r="AE40" s="1"/>
    </row>
    <row r="41" spans="2:31">
      <c r="B41" s="116">
        <v>44439</v>
      </c>
      <c r="C41" s="14" t="str">
        <f t="shared" si="0"/>
        <v/>
      </c>
      <c r="D41" s="87"/>
      <c r="E41" s="87">
        <v>0</v>
      </c>
      <c r="F41" s="23">
        <v>-838965</v>
      </c>
      <c r="G41" s="26">
        <f>D41+E41+F41-E40-F40</f>
        <v>-42825</v>
      </c>
      <c r="H41" s="132">
        <v>300</v>
      </c>
      <c r="I41" s="25">
        <v>18100</v>
      </c>
      <c r="J41" s="25">
        <v>-100</v>
      </c>
      <c r="K41" s="170">
        <f t="shared" si="3"/>
        <v>18300</v>
      </c>
      <c r="L41" s="171">
        <v>24</v>
      </c>
      <c r="M41" s="153"/>
      <c r="N41" s="149">
        <f t="shared" si="7"/>
        <v>-24501</v>
      </c>
      <c r="O41" s="67">
        <f t="shared" si="1"/>
        <v>3469056.9800000018</v>
      </c>
      <c r="P41" s="7">
        <f t="shared" si="4"/>
        <v>121416994.30000007</v>
      </c>
      <c r="Q41" s="164">
        <f>Q40+N41-1</f>
        <v>3650192.45</v>
      </c>
      <c r="R41" s="29">
        <f t="shared" si="2"/>
        <v>2466.830737820907</v>
      </c>
      <c r="S41" s="5">
        <f>SUM($Q$7:$Q41)/T41+1</f>
        <v>3723162.9642857164</v>
      </c>
      <c r="T41" s="18">
        <v>35</v>
      </c>
      <c r="U41" s="138">
        <f>B40+8</f>
        <v>44446</v>
      </c>
      <c r="V41" s="137"/>
      <c r="W41" s="105">
        <v>-2276774</v>
      </c>
      <c r="X41" s="167"/>
      <c r="Y41" s="156">
        <f>Y40-K41-L41+1</f>
        <v>-2276774</v>
      </c>
      <c r="Z41" s="217"/>
      <c r="AD41" s="1"/>
      <c r="AE41" s="1"/>
    </row>
    <row r="42" spans="2:31">
      <c r="B42" s="116">
        <v>44440</v>
      </c>
      <c r="C42" s="14" t="str">
        <f t="shared" si="0"/>
        <v/>
      </c>
      <c r="D42" s="87">
        <f>-112+16</f>
        <v>-96</v>
      </c>
      <c r="E42" s="87">
        <v>0</v>
      </c>
      <c r="F42" s="23">
        <v>-822846</v>
      </c>
      <c r="G42" s="26">
        <f t="shared" ref="G42:G44" si="9">D42+E42+F42-E41-F41</f>
        <v>16023</v>
      </c>
      <c r="H42" s="132">
        <v>8300</v>
      </c>
      <c r="I42" s="25">
        <v>48600</v>
      </c>
      <c r="J42" s="25">
        <v>-200</v>
      </c>
      <c r="K42" s="170">
        <f t="shared" si="3"/>
        <v>56700</v>
      </c>
      <c r="L42" s="171">
        <v>48</v>
      </c>
      <c r="M42" s="153"/>
      <c r="N42" s="149">
        <f t="shared" si="7"/>
        <v>72771</v>
      </c>
      <c r="O42" s="67">
        <f t="shared" si="1"/>
        <v>3471894.4097222243</v>
      </c>
      <c r="P42" s="7">
        <f t="shared" si="4"/>
        <v>124988198.75000007</v>
      </c>
      <c r="Q42" s="164">
        <f>Q41+N42+2-832</f>
        <v>3722133.45</v>
      </c>
      <c r="R42" s="29">
        <f t="shared" si="2"/>
        <v>2466.8118084956809</v>
      </c>
      <c r="S42" s="5">
        <f>SUM($Q$7:$Q42)/T42+1</f>
        <v>3723134.3944444465</v>
      </c>
      <c r="T42" s="18">
        <v>36</v>
      </c>
      <c r="U42" s="27"/>
      <c r="V42" s="137"/>
      <c r="W42" s="105">
        <v>-2333523</v>
      </c>
      <c r="X42" s="167"/>
      <c r="Y42" s="156">
        <f>Y41-K42-L42-1</f>
        <v>-2333523</v>
      </c>
      <c r="Z42" s="217"/>
      <c r="AD42" s="1"/>
      <c r="AE42" s="1"/>
    </row>
    <row r="43" spans="2:31">
      <c r="B43" s="116">
        <v>44441</v>
      </c>
      <c r="C43" s="14" t="str">
        <f t="shared" si="0"/>
        <v/>
      </c>
      <c r="D43" s="87"/>
      <c r="E43" s="87">
        <v>47</v>
      </c>
      <c r="F43" s="23">
        <v>-822337</v>
      </c>
      <c r="G43" s="26">
        <f t="shared" si="9"/>
        <v>556</v>
      </c>
      <c r="H43" s="132">
        <v>300</v>
      </c>
      <c r="I43" s="25">
        <v>-6000</v>
      </c>
      <c r="J43" s="25">
        <v>-200</v>
      </c>
      <c r="K43" s="170">
        <f t="shared" si="3"/>
        <v>-5900</v>
      </c>
      <c r="L43" s="171">
        <v>-30</v>
      </c>
      <c r="M43" s="153"/>
      <c r="N43" s="149">
        <f t="shared" si="7"/>
        <v>-5374</v>
      </c>
      <c r="O43" s="67">
        <f t="shared" si="1"/>
        <v>3474433.1675675698</v>
      </c>
      <c r="P43" s="7">
        <f t="shared" si="4"/>
        <v>128554027.20000008</v>
      </c>
      <c r="Q43" s="164">
        <f>Q42+N43-2</f>
        <v>3716757.45</v>
      </c>
      <c r="R43" s="29">
        <f t="shared" si="2"/>
        <v>2466.697633736143</v>
      </c>
      <c r="S43" s="5">
        <f>SUM($Q$7:$Q43)/T43+1</f>
        <v>3722962.0716216234</v>
      </c>
      <c r="T43" s="18">
        <v>37</v>
      </c>
      <c r="U43" s="27"/>
      <c r="V43" s="137"/>
      <c r="W43" s="105">
        <v>-2327591</v>
      </c>
      <c r="X43" s="167"/>
      <c r="Y43" s="156">
        <f>Y42-K43-L43+2</f>
        <v>-2327591</v>
      </c>
      <c r="Z43" s="217"/>
      <c r="AD43" s="1"/>
      <c r="AE43" s="1"/>
    </row>
    <row r="44" spans="2:31">
      <c r="B44" s="116">
        <v>44442</v>
      </c>
      <c r="C44" s="14" t="str">
        <f t="shared" si="0"/>
        <v/>
      </c>
      <c r="D44" s="87"/>
      <c r="E44" s="87">
        <v>0</v>
      </c>
      <c r="F44" s="23">
        <v>-812981</v>
      </c>
      <c r="G44" s="26">
        <f t="shared" si="9"/>
        <v>9309</v>
      </c>
      <c r="H44" s="132">
        <v>300</v>
      </c>
      <c r="I44" s="25">
        <v>1800</v>
      </c>
      <c r="J44" s="25">
        <v>-200</v>
      </c>
      <c r="K44" s="170">
        <f t="shared" si="3"/>
        <v>1900</v>
      </c>
      <c r="L44" s="171">
        <v>-1</v>
      </c>
      <c r="M44" s="153"/>
      <c r="N44" s="149">
        <f t="shared" si="7"/>
        <v>11208</v>
      </c>
      <c r="O44" s="67">
        <f t="shared" si="1"/>
        <v>3477133.227631581</v>
      </c>
      <c r="P44" s="7">
        <f t="shared" si="4"/>
        <v>132131062.65000008</v>
      </c>
      <c r="Q44" s="164">
        <f>Q43+N44-1</f>
        <v>3727964.45</v>
      </c>
      <c r="R44" s="29">
        <f t="shared" si="2"/>
        <v>2466.7842094452926</v>
      </c>
      <c r="S44" s="5">
        <f>SUM($Q$7:$Q44)/T44</f>
        <v>3723092.7394736856</v>
      </c>
      <c r="T44" s="18">
        <v>38</v>
      </c>
      <c r="U44" s="27"/>
      <c r="V44" s="137"/>
      <c r="W44" s="105">
        <v>-2329489</v>
      </c>
      <c r="X44" s="167"/>
      <c r="Y44" s="156">
        <f>Y43-K44-L44+1</f>
        <v>-2329489</v>
      </c>
      <c r="Z44" s="217"/>
      <c r="AD44" s="1"/>
      <c r="AE44" s="1"/>
    </row>
    <row r="45" spans="2:31">
      <c r="B45" s="116">
        <v>44443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3479694.8230769252</v>
      </c>
      <c r="P45" s="7">
        <f t="shared" si="4"/>
        <v>135708098.10000008</v>
      </c>
      <c r="Q45" s="164">
        <f t="shared" si="8"/>
        <v>3727964.45</v>
      </c>
      <c r="R45" s="29">
        <f t="shared" si="2"/>
        <v>2466.8669739600782</v>
      </c>
      <c r="S45" s="5">
        <f>SUM($Q$7:$Q45)/T45</f>
        <v>3723217.6551282061</v>
      </c>
      <c r="T45" s="18">
        <v>39</v>
      </c>
      <c r="U45" s="27"/>
      <c r="V45" s="137"/>
      <c r="W45" s="105">
        <v>-2329489</v>
      </c>
      <c r="X45" s="167"/>
      <c r="Y45" s="156">
        <f>Y44-K45-L45</f>
        <v>-2329489</v>
      </c>
      <c r="Z45" s="217"/>
      <c r="AD45" s="1"/>
      <c r="AE45" s="1"/>
    </row>
    <row r="46" spans="2:31">
      <c r="B46" s="116">
        <v>44444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3482128.338750002</v>
      </c>
      <c r="P46" s="7">
        <f t="shared" si="4"/>
        <v>139285133.55000007</v>
      </c>
      <c r="Q46" s="164">
        <f t="shared" si="8"/>
        <v>3727964.45</v>
      </c>
      <c r="R46" s="29">
        <f t="shared" si="2"/>
        <v>2466.946262812316</v>
      </c>
      <c r="S46" s="5">
        <f>SUM($Q$7:$Q46)/T46+1</f>
        <v>3723337.3250000007</v>
      </c>
      <c r="T46" s="18">
        <v>40</v>
      </c>
      <c r="U46" s="27"/>
      <c r="V46" s="137"/>
      <c r="W46" s="105">
        <v>-2329489</v>
      </c>
      <c r="X46" s="167"/>
      <c r="Y46" s="156">
        <f>Y45-K46-L46</f>
        <v>-2329489</v>
      </c>
      <c r="Z46" s="217"/>
      <c r="AD46" s="1"/>
      <c r="AE46" s="1"/>
    </row>
    <row r="47" spans="2:31">
      <c r="B47" s="116">
        <v>44445</v>
      </c>
      <c r="C47" s="14" t="str">
        <f t="shared" si="0"/>
        <v/>
      </c>
      <c r="D47" s="87"/>
      <c r="E47" s="87">
        <v>0</v>
      </c>
      <c r="F47" s="23">
        <v>-823384</v>
      </c>
      <c r="G47" s="26">
        <f>D47+E47+F47-E44-F44</f>
        <v>-10403</v>
      </c>
      <c r="H47" s="132">
        <v>300</v>
      </c>
      <c r="I47" s="25">
        <v>1600</v>
      </c>
      <c r="J47" s="25">
        <v>-200</v>
      </c>
      <c r="K47" s="170">
        <f t="shared" si="3"/>
        <v>1700</v>
      </c>
      <c r="L47" s="171">
        <v>20</v>
      </c>
      <c r="M47" s="153"/>
      <c r="N47" s="149">
        <f t="shared" si="7"/>
        <v>-8683</v>
      </c>
      <c r="O47" s="67">
        <f t="shared" si="1"/>
        <v>3484231.317073172</v>
      </c>
      <c r="P47" s="7">
        <f t="shared" si="4"/>
        <v>142853484.00000006</v>
      </c>
      <c r="Q47" s="164">
        <f>Q46+N47-2</f>
        <v>3719279.45</v>
      </c>
      <c r="R47" s="29">
        <f t="shared" si="2"/>
        <v>2466.8807033964772</v>
      </c>
      <c r="S47" s="5">
        <f>SUM($Q$7:$Q47)/T47+1</f>
        <v>3723238.3768292689</v>
      </c>
      <c r="T47" s="18">
        <v>41</v>
      </c>
      <c r="U47" s="138">
        <f>B47</f>
        <v>44445</v>
      </c>
      <c r="V47" s="137"/>
      <c r="W47" s="105">
        <v>-2331208</v>
      </c>
      <c r="X47" s="167">
        <f>AVERAGE(W47:W55)</f>
        <v>-2347738.888888889</v>
      </c>
      <c r="Y47" s="156">
        <f t="shared" ref="Y47" si="10">Y46-K47-L47+1</f>
        <v>-2331208</v>
      </c>
      <c r="Z47" s="217">
        <f>AVERAGE(Y47:Y55)</f>
        <v>-2347738.888888889</v>
      </c>
      <c r="AD47" s="1"/>
      <c r="AE47" s="1"/>
    </row>
    <row r="48" spans="2:31">
      <c r="B48" s="116">
        <v>44446</v>
      </c>
      <c r="C48" s="14" t="str">
        <f t="shared" si="0"/>
        <v/>
      </c>
      <c r="D48" s="87"/>
      <c r="E48" s="87">
        <v>0</v>
      </c>
      <c r="F48" s="23">
        <v>-818777</v>
      </c>
      <c r="G48" s="26">
        <f>D48+E48+F48-E47-F47</f>
        <v>4607</v>
      </c>
      <c r="H48" s="132">
        <v>300</v>
      </c>
      <c r="I48" s="25">
        <v>8100</v>
      </c>
      <c r="J48" s="25">
        <v>-200</v>
      </c>
      <c r="K48" s="170">
        <f t="shared" si="3"/>
        <v>8200</v>
      </c>
      <c r="L48" s="171"/>
      <c r="M48" s="153"/>
      <c r="N48" s="149">
        <f t="shared" si="7"/>
        <v>12807</v>
      </c>
      <c r="O48" s="67">
        <f t="shared" si="1"/>
        <v>3486539.1535714297</v>
      </c>
      <c r="P48" s="7">
        <f t="shared" si="4"/>
        <v>146434644.45000005</v>
      </c>
      <c r="Q48" s="164">
        <f>Q47+N48+3</f>
        <v>3732089.45</v>
      </c>
      <c r="R48" s="29">
        <f t="shared" si="2"/>
        <v>2467.0203476311317</v>
      </c>
      <c r="S48" s="5">
        <f>SUM($Q$7:$Q48)/T48+1</f>
        <v>3723449.1404761905</v>
      </c>
      <c r="T48" s="18">
        <v>42</v>
      </c>
      <c r="U48" s="138">
        <f>B47+8</f>
        <v>44453</v>
      </c>
      <c r="V48" s="137"/>
      <c r="W48" s="105">
        <v>-2339410</v>
      </c>
      <c r="X48" s="167"/>
      <c r="Y48" s="156">
        <f>Y47-K48-L48-2</f>
        <v>-2339410</v>
      </c>
      <c r="Z48" s="217"/>
      <c r="AD48" s="1"/>
      <c r="AE48" s="1"/>
    </row>
    <row r="49" spans="2:31">
      <c r="B49" s="116">
        <v>44447</v>
      </c>
      <c r="C49" s="14" t="str">
        <f t="shared" ref="C49:C55" si="11">IF(OR(WEEKDAY(B49)=1,WEEKDAY(B49)=7),"F","")</f>
        <v/>
      </c>
      <c r="D49" s="87">
        <f>-16+319</f>
        <v>303</v>
      </c>
      <c r="E49" s="87">
        <v>1</v>
      </c>
      <c r="F49" s="23">
        <v>-821201</v>
      </c>
      <c r="G49" s="26">
        <f t="shared" ref="G49:G55" si="12">D49+E49+F49-E48-F48</f>
        <v>-2120</v>
      </c>
      <c r="H49" s="132">
        <v>300</v>
      </c>
      <c r="I49" s="25">
        <v>-5300</v>
      </c>
      <c r="J49" s="25">
        <v>-200</v>
      </c>
      <c r="K49" s="170">
        <f t="shared" ref="K49:K55" si="13">+H49+I49+J49</f>
        <v>-5200</v>
      </c>
      <c r="L49" s="171">
        <v>36</v>
      </c>
      <c r="M49" s="153"/>
      <c r="N49" s="149">
        <f t="shared" ref="N49:N55" si="14">L49+K49+G49+M49</f>
        <v>-7284</v>
      </c>
      <c r="O49" s="67">
        <f t="shared" ref="O49:O55" si="15">P49/T49</f>
        <v>3488570.3000000007</v>
      </c>
      <c r="P49" s="7">
        <f t="shared" si="4"/>
        <v>150008522.90000004</v>
      </c>
      <c r="Q49" s="164">
        <f>Q48+N49+2</f>
        <v>3724807.45</v>
      </c>
      <c r="R49" s="29">
        <f t="shared" si="2"/>
        <v>2467.041292478968</v>
      </c>
      <c r="S49" s="5">
        <f>SUM($Q$7:$Q49)/T49+1</f>
        <v>3723480.7523255814</v>
      </c>
      <c r="T49" s="18">
        <v>43</v>
      </c>
      <c r="U49" s="138"/>
      <c r="V49" s="137"/>
      <c r="W49" s="105">
        <v>-2334248</v>
      </c>
      <c r="X49" s="167"/>
      <c r="Y49" s="156">
        <f t="shared" ref="Y49:Y55" si="16">Y48-K49-L49-2</f>
        <v>-2334248</v>
      </c>
      <c r="Z49" s="217"/>
      <c r="AD49" s="1"/>
      <c r="AE49" s="1"/>
    </row>
    <row r="50" spans="2:31">
      <c r="B50" s="116">
        <v>44448</v>
      </c>
      <c r="C50" s="14" t="str">
        <f t="shared" si="11"/>
        <v/>
      </c>
      <c r="D50" s="87"/>
      <c r="E50" s="87">
        <v>0</v>
      </c>
      <c r="F50" s="23">
        <v>-814773</v>
      </c>
      <c r="G50" s="26">
        <f t="shared" si="12"/>
        <v>6427</v>
      </c>
      <c r="H50" s="132">
        <v>300</v>
      </c>
      <c r="I50" s="25">
        <v>8500</v>
      </c>
      <c r="J50" s="25">
        <v>-300</v>
      </c>
      <c r="K50" s="170">
        <f t="shared" si="13"/>
        <v>8500</v>
      </c>
      <c r="L50" s="171">
        <v>-22</v>
      </c>
      <c r="M50" s="153"/>
      <c r="N50" s="149">
        <f t="shared" si="14"/>
        <v>14905</v>
      </c>
      <c r="O50" s="67">
        <f t="shared" si="15"/>
        <v>3490847.917045455</v>
      </c>
      <c r="P50" s="7">
        <f t="shared" si="4"/>
        <v>153597308.35000002</v>
      </c>
      <c r="Q50" s="164">
        <f>Q49+N50+2</f>
        <v>3739714.45</v>
      </c>
      <c r="R50" s="29">
        <f t="shared" si="2"/>
        <v>2467.2857586860528</v>
      </c>
      <c r="S50" s="5">
        <f>SUM($Q$7:$Q50)/T50+1</f>
        <v>3723849.7227272722</v>
      </c>
      <c r="T50" s="18">
        <v>44</v>
      </c>
      <c r="U50" s="138"/>
      <c r="V50" s="137"/>
      <c r="W50" s="105">
        <v>-2342728</v>
      </c>
      <c r="X50" s="167"/>
      <c r="Y50" s="156">
        <f t="shared" si="16"/>
        <v>-2342728</v>
      </c>
      <c r="Z50" s="217"/>
      <c r="AD50" s="1"/>
      <c r="AE50" s="1"/>
    </row>
    <row r="51" spans="2:31">
      <c r="B51" s="116">
        <v>44449</v>
      </c>
      <c r="C51" s="14" t="str">
        <f t="shared" si="11"/>
        <v/>
      </c>
      <c r="D51" s="87"/>
      <c r="E51" s="87">
        <v>19</v>
      </c>
      <c r="F51" s="23">
        <v>-821444</v>
      </c>
      <c r="G51" s="26">
        <f t="shared" si="12"/>
        <v>-6652</v>
      </c>
      <c r="H51" s="132">
        <v>300</v>
      </c>
      <c r="I51" s="25">
        <v>10900</v>
      </c>
      <c r="J51" s="25">
        <v>-300</v>
      </c>
      <c r="K51" s="170">
        <f t="shared" si="13"/>
        <v>10900</v>
      </c>
      <c r="L51" s="171">
        <v>15</v>
      </c>
      <c r="M51" s="153"/>
      <c r="N51" s="149">
        <f t="shared" si="14"/>
        <v>4263</v>
      </c>
      <c r="O51" s="67">
        <f t="shared" si="15"/>
        <v>3493119.0622222223</v>
      </c>
      <c r="P51" s="7">
        <f t="shared" si="4"/>
        <v>157190357.80000001</v>
      </c>
      <c r="Q51" s="164">
        <f>Q50+N51+1</f>
        <v>3743978.45</v>
      </c>
      <c r="R51" s="29">
        <f t="shared" si="2"/>
        <v>2467.5821412717232</v>
      </c>
      <c r="S51" s="5">
        <f>SUM($Q$7:$Q51)/T51+1</f>
        <v>3724297.0499999993</v>
      </c>
      <c r="T51" s="18">
        <v>45</v>
      </c>
      <c r="U51" s="138"/>
      <c r="V51" s="137"/>
      <c r="W51" s="105">
        <v>-2353645</v>
      </c>
      <c r="X51" s="167"/>
      <c r="Y51" s="156">
        <f t="shared" si="16"/>
        <v>-2353645</v>
      </c>
      <c r="Z51" s="217"/>
      <c r="AD51" s="1"/>
      <c r="AE51" s="1"/>
    </row>
    <row r="52" spans="2:31">
      <c r="B52" s="116">
        <v>44450</v>
      </c>
      <c r="C52" s="14" t="str">
        <f t="shared" si="11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5"/>
        <v>3495291.461956522</v>
      </c>
      <c r="P52" s="7">
        <f t="shared" si="4"/>
        <v>160783407.25</v>
      </c>
      <c r="Q52" s="164">
        <f t="shared" ref="Q52:Q53" si="17">Q51+N52</f>
        <v>3743978.45</v>
      </c>
      <c r="R52" s="29">
        <f t="shared" si="2"/>
        <v>2467.865637658017</v>
      </c>
      <c r="S52" s="5">
        <f>SUM($Q$7:$Q52)/T52+1</f>
        <v>3724724.9282608689</v>
      </c>
      <c r="T52" s="18">
        <v>46</v>
      </c>
      <c r="U52" s="138"/>
      <c r="V52" s="137"/>
      <c r="W52" s="105">
        <v>-2353645</v>
      </c>
      <c r="X52" s="167"/>
      <c r="Y52" s="156">
        <f>Y51-K52-L52</f>
        <v>-2353645</v>
      </c>
      <c r="Z52" s="217"/>
      <c r="AD52" s="1"/>
      <c r="AE52" s="1"/>
    </row>
    <row r="53" spans="2:31">
      <c r="B53" s="116">
        <v>44451</v>
      </c>
      <c r="C53" s="14" t="str">
        <f t="shared" si="11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5"/>
        <v>3497371.4191489359</v>
      </c>
      <c r="P53" s="7">
        <f t="shared" si="4"/>
        <v>164376456.69999999</v>
      </c>
      <c r="Q53" s="164">
        <f t="shared" si="17"/>
        <v>3743978.45</v>
      </c>
      <c r="R53" s="29">
        <f t="shared" si="2"/>
        <v>2468.1370703682983</v>
      </c>
      <c r="S53" s="5">
        <f>SUM($Q$7:$Q53)/T53+1</f>
        <v>3725134.5989361689</v>
      </c>
      <c r="T53" s="18">
        <v>47</v>
      </c>
      <c r="U53" s="138"/>
      <c r="V53" s="137"/>
      <c r="W53" s="105">
        <v>-2353645</v>
      </c>
      <c r="X53" s="167"/>
      <c r="Y53" s="156">
        <f>Y52-K53-L53</f>
        <v>-2353645</v>
      </c>
      <c r="Z53" s="217"/>
      <c r="AD53" s="1"/>
      <c r="AE53" s="1"/>
    </row>
    <row r="54" spans="2:31">
      <c r="B54" s="116">
        <v>44452</v>
      </c>
      <c r="C54" s="14" t="str">
        <f t="shared" si="11"/>
        <v/>
      </c>
      <c r="D54" s="87"/>
      <c r="E54" s="87">
        <v>0</v>
      </c>
      <c r="F54" s="23">
        <v>-828012</v>
      </c>
      <c r="G54" s="26">
        <f>D54+E54+F54-E51-F51</f>
        <v>-6587</v>
      </c>
      <c r="H54" s="132">
        <v>300</v>
      </c>
      <c r="I54" s="25">
        <v>3800</v>
      </c>
      <c r="J54" s="25">
        <v>-400</v>
      </c>
      <c r="K54" s="170">
        <f t="shared" si="13"/>
        <v>3700</v>
      </c>
      <c r="L54" s="171">
        <v>-14</v>
      </c>
      <c r="M54" s="153"/>
      <c r="N54" s="149">
        <f t="shared" si="14"/>
        <v>-2901</v>
      </c>
      <c r="O54" s="67">
        <f t="shared" si="15"/>
        <v>3499304.4197916663</v>
      </c>
      <c r="P54" s="7">
        <f t="shared" si="4"/>
        <v>167966612.14999998</v>
      </c>
      <c r="Q54" s="164">
        <f>Q53+N54+7</f>
        <v>3741084.45</v>
      </c>
      <c r="R54" s="29">
        <f t="shared" si="2"/>
        <v>2468.357246343202</v>
      </c>
      <c r="S54" s="5">
        <f>SUM($Q$7:$Q54)/T54+1</f>
        <v>3725466.9083333318</v>
      </c>
      <c r="T54" s="18">
        <v>48</v>
      </c>
      <c r="U54" s="138"/>
      <c r="V54" s="137"/>
      <c r="W54" s="105">
        <v>-2357337</v>
      </c>
      <c r="X54" s="167"/>
      <c r="Y54" s="156">
        <f>Y53-K54-L54-6</f>
        <v>-2357337</v>
      </c>
      <c r="Z54" s="217"/>
      <c r="AD54" s="1"/>
      <c r="AE54" s="1"/>
    </row>
    <row r="55" spans="2:31">
      <c r="B55" s="116">
        <v>44453</v>
      </c>
      <c r="C55" s="14" t="str">
        <f t="shared" si="11"/>
        <v/>
      </c>
      <c r="D55" s="87"/>
      <c r="E55" s="87">
        <v>14</v>
      </c>
      <c r="F55" s="23">
        <v>-822054</v>
      </c>
      <c r="G55" s="26">
        <f t="shared" si="12"/>
        <v>5972</v>
      </c>
      <c r="H55" s="132">
        <v>300</v>
      </c>
      <c r="I55" s="25">
        <v>6600</v>
      </c>
      <c r="J55" s="25">
        <v>-400</v>
      </c>
      <c r="K55" s="170">
        <f t="shared" si="13"/>
        <v>6500</v>
      </c>
      <c r="L55" s="171">
        <v>-55</v>
      </c>
      <c r="M55" s="153"/>
      <c r="N55" s="149">
        <f t="shared" si="14"/>
        <v>12417</v>
      </c>
      <c r="O55" s="67">
        <f t="shared" si="15"/>
        <v>3501411.9918367341</v>
      </c>
      <c r="P55" s="7">
        <f t="shared" si="4"/>
        <v>171569187.59999996</v>
      </c>
      <c r="Q55" s="164">
        <f>Q54+N55+3</f>
        <v>3753504.45</v>
      </c>
      <c r="R55" s="29">
        <f t="shared" si="2"/>
        <v>2468.7363750302366</v>
      </c>
      <c r="S55" s="5">
        <f>SUM($Q$7:$Q55)/T55+1</f>
        <v>3726039.1234693862</v>
      </c>
      <c r="T55" s="18">
        <v>49</v>
      </c>
      <c r="U55" s="138"/>
      <c r="V55" s="137"/>
      <c r="W55" s="105">
        <v>-2363784</v>
      </c>
      <c r="X55" s="167"/>
      <c r="Y55" s="156">
        <f t="shared" si="16"/>
        <v>-2363784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2021'!Q48</f>
        <v>3594532.45</v>
      </c>
    </row>
    <row r="60" spans="2:31">
      <c r="D60" s="138" t="s">
        <v>4</v>
      </c>
      <c r="E60" s="139"/>
      <c r="F60" s="143"/>
      <c r="G60" s="91">
        <f>'July 2021'!E48</f>
        <v>7</v>
      </c>
    </row>
    <row r="61" spans="2:31">
      <c r="D61" s="138" t="s">
        <v>60</v>
      </c>
      <c r="E61" s="144"/>
      <c r="F61" s="143"/>
      <c r="G61" s="91">
        <f>'July 2021'!F48</f>
        <v>-808863</v>
      </c>
    </row>
    <row r="62" spans="2:31" ht="12.75" thickBot="1">
      <c r="D62" s="140" t="s">
        <v>46</v>
      </c>
      <c r="E62" s="145"/>
      <c r="F62" s="146"/>
      <c r="G62" s="158">
        <f>'July 2021'!Y48</f>
        <v>-2186584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03B-CB48-4930-8FD3-939B94ADFEFC}">
  <sheetPr codeName="Sheet27">
    <pageSetUpPr fitToPage="1"/>
  </sheetPr>
  <dimension ref="B1:IU65513"/>
  <sheetViews>
    <sheetView zoomScaleNormal="100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152822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44454</v>
      </c>
      <c r="C7" s="196" t="str">
        <f t="shared" ref="C7:C55" si="0">IF(OR(WEEKDAY(B7)=1,WEEKDAY(B7)=7),"F","")</f>
        <v/>
      </c>
      <c r="D7" s="197">
        <f>-319+344</f>
        <v>25</v>
      </c>
      <c r="E7" s="197">
        <v>0</v>
      </c>
      <c r="F7" s="198">
        <v>-582744</v>
      </c>
      <c r="G7" s="199">
        <f>D7+E7+F7-G60-G61</f>
        <v>239321</v>
      </c>
      <c r="H7" s="132">
        <v>300</v>
      </c>
      <c r="I7" s="63">
        <v>-12600</v>
      </c>
      <c r="J7" s="63">
        <v>-400</v>
      </c>
      <c r="K7" s="168">
        <f>+H7+I7+J7</f>
        <v>-12700</v>
      </c>
      <c r="L7" s="169">
        <v>-20</v>
      </c>
      <c r="M7" s="203"/>
      <c r="N7" s="204">
        <f>L7+K7+G7+M7</f>
        <v>226601</v>
      </c>
      <c r="O7" s="205">
        <f t="shared" ref="O7:O55" si="1">P7/T7</f>
        <v>3827281.45</v>
      </c>
      <c r="P7" s="206">
        <f>(+$Q7-$Q$3)</f>
        <v>3827281.45</v>
      </c>
      <c r="Q7" s="207">
        <f>G59+N7-2</f>
        <v>3980103.45</v>
      </c>
      <c r="R7" s="208">
        <f t="shared" ref="R7:R55" si="2">$S7/$Q$3*100</f>
        <v>2604.4047650207431</v>
      </c>
      <c r="S7" s="209">
        <f>$Q7</f>
        <v>3980103.45</v>
      </c>
      <c r="T7" s="210">
        <v>1</v>
      </c>
      <c r="U7" s="211">
        <f>B7</f>
        <v>44454</v>
      </c>
      <c r="V7" s="212">
        <v>2085.6999999999998</v>
      </c>
      <c r="W7" s="213">
        <v>-2351064</v>
      </c>
      <c r="X7" s="214">
        <f>AVERAGE(W7:W11)</f>
        <v>-2319545.7999999998</v>
      </c>
      <c r="Y7" s="215">
        <f>G62-K7+20</f>
        <v>-2351064</v>
      </c>
      <c r="Z7" s="216">
        <f>AVERAGE(Y7:Y13)</f>
        <v>-2307982.5714285714</v>
      </c>
      <c r="AA7" s="92"/>
    </row>
    <row r="8" spans="2:255">
      <c r="B8" s="116">
        <v>44455</v>
      </c>
      <c r="C8" s="14"/>
      <c r="D8" s="307"/>
      <c r="E8" s="128">
        <v>0</v>
      </c>
      <c r="F8" s="162">
        <v>-567601</v>
      </c>
      <c r="G8" s="26">
        <f>D8+E8+F8-E7-F7</f>
        <v>15143</v>
      </c>
      <c r="H8" s="132">
        <v>300</v>
      </c>
      <c r="I8" s="63">
        <v>-32400</v>
      </c>
      <c r="J8" s="63">
        <v>-400</v>
      </c>
      <c r="K8" s="170">
        <f t="shared" ref="K8:K55" si="3">+H8+I8+J8</f>
        <v>-32500</v>
      </c>
      <c r="L8" s="171">
        <v>45</v>
      </c>
      <c r="M8" s="153"/>
      <c r="N8" s="149">
        <f>L8+K8+G8+M8</f>
        <v>-17312</v>
      </c>
      <c r="O8" s="67">
        <f t="shared" si="1"/>
        <v>1904985.2250000001</v>
      </c>
      <c r="P8" s="163">
        <f>(IF($Q8&lt;0,-$Q$3+P6,($Q8-$Q$3)+P6))</f>
        <v>3809970.45</v>
      </c>
      <c r="Q8" s="164">
        <f>Q7+N8+1</f>
        <v>3962792.45</v>
      </c>
      <c r="R8" s="29">
        <f t="shared" si="2"/>
        <v>2598.740986245436</v>
      </c>
      <c r="S8" s="165">
        <f>SUM($Q$7:$Q8)/T8</f>
        <v>3971447.95</v>
      </c>
      <c r="T8" s="166">
        <v>2</v>
      </c>
      <c r="U8" s="138">
        <f>B7+6</f>
        <v>44460</v>
      </c>
      <c r="V8" s="131"/>
      <c r="W8" s="105">
        <v>-2318609</v>
      </c>
      <c r="X8" s="167"/>
      <c r="Y8" s="156">
        <f>Y7-K8-L8</f>
        <v>-2318609</v>
      </c>
      <c r="Z8" s="217"/>
      <c r="AA8" s="92"/>
    </row>
    <row r="9" spans="2:255">
      <c r="B9" s="116">
        <v>44456</v>
      </c>
      <c r="C9" s="14" t="str">
        <f t="shared" si="0"/>
        <v/>
      </c>
      <c r="D9" s="87"/>
      <c r="E9" s="87">
        <v>0</v>
      </c>
      <c r="F9" s="23">
        <v>-579741</v>
      </c>
      <c r="G9" s="26">
        <f>D9+E9+F9-E8-F8</f>
        <v>-12140</v>
      </c>
      <c r="H9" s="132">
        <v>300</v>
      </c>
      <c r="I9" s="63">
        <v>-9200</v>
      </c>
      <c r="J9" s="63">
        <v>-400</v>
      </c>
      <c r="K9" s="170">
        <f t="shared" si="3"/>
        <v>-9300</v>
      </c>
      <c r="L9" s="171">
        <v>45</v>
      </c>
      <c r="M9" s="153"/>
      <c r="N9" s="149">
        <f>L9+K9+G9+M9</f>
        <v>-21395</v>
      </c>
      <c r="O9" s="67">
        <f t="shared" si="1"/>
        <v>2538618.9666666668</v>
      </c>
      <c r="P9" s="7">
        <f>(IF($Q9&lt;0,-$Q$3+P7,($Q9-$Q$3)+P7))</f>
        <v>7615856.9000000004</v>
      </c>
      <c r="Q9" s="164">
        <f>Q8+N9</f>
        <v>3941397.45</v>
      </c>
      <c r="R9" s="29">
        <f t="shared" si="2"/>
        <v>2592.1870651258764</v>
      </c>
      <c r="S9" s="5">
        <f>SUM($Q$7:$Q9)/T9+1</f>
        <v>3961432.1166666672</v>
      </c>
      <c r="T9" s="17">
        <v>3</v>
      </c>
      <c r="U9" s="4"/>
      <c r="V9" s="131"/>
      <c r="W9" s="105">
        <v>-2309352</v>
      </c>
      <c r="X9" s="167"/>
      <c r="Y9" s="156">
        <f>Y8-K9-L9+2</f>
        <v>-2309352</v>
      </c>
      <c r="Z9" s="217"/>
      <c r="AA9" s="92"/>
    </row>
    <row r="10" spans="2:255">
      <c r="B10" s="116">
        <v>44457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2851108.0875000004</v>
      </c>
      <c r="P10" s="7">
        <f t="shared" ref="P10:P55" si="4">(IF($Q10&lt;0,-$Q$3+P9,($Q10-$Q$3)+P9))</f>
        <v>11404432.350000001</v>
      </c>
      <c r="Q10" s="164">
        <f>Q9+N10</f>
        <v>3941397.45</v>
      </c>
      <c r="R10" s="29">
        <f t="shared" si="2"/>
        <v>2588.9084686759761</v>
      </c>
      <c r="S10" s="5">
        <f>SUM($Q$7:$Q10)/T10-1</f>
        <v>3956421.7</v>
      </c>
      <c r="T10" s="17">
        <v>4</v>
      </c>
      <c r="U10" s="27"/>
      <c r="V10" s="133"/>
      <c r="W10" s="105">
        <v>-2309352</v>
      </c>
      <c r="X10" s="167"/>
      <c r="Y10" s="156">
        <f>Y9-K10-L10</f>
        <v>-2309352</v>
      </c>
      <c r="Z10" s="217"/>
      <c r="AA10" s="92"/>
    </row>
    <row r="11" spans="2:255">
      <c r="B11" s="116">
        <v>44458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3038601.56</v>
      </c>
      <c r="P11" s="7">
        <f t="shared" si="4"/>
        <v>15193007.800000001</v>
      </c>
      <c r="Q11" s="164">
        <f t="shared" ref="Q11:Q18" si="5">Q10+N11</f>
        <v>3941397.45</v>
      </c>
      <c r="R11" s="29">
        <f t="shared" si="2"/>
        <v>2586.9420960332936</v>
      </c>
      <c r="S11" s="5">
        <f>SUM($Q$7:$Q11)/T11-1</f>
        <v>3953416.65</v>
      </c>
      <c r="T11" s="17">
        <v>5</v>
      </c>
      <c r="U11" s="27"/>
      <c r="V11" s="134"/>
      <c r="W11" s="105">
        <v>-2309352</v>
      </c>
      <c r="X11" s="167"/>
      <c r="Y11" s="156">
        <f t="shared" ref="Y11:Y39" si="6">Y10-K11-L11</f>
        <v>-2309352</v>
      </c>
      <c r="Z11" s="217"/>
      <c r="AA11" s="92"/>
    </row>
    <row r="12" spans="2:255">
      <c r="B12" s="116">
        <v>44459</v>
      </c>
      <c r="C12" s="14" t="str">
        <f t="shared" si="0"/>
        <v/>
      </c>
      <c r="D12" s="87"/>
      <c r="E12" s="161">
        <v>0</v>
      </c>
      <c r="F12" s="23">
        <v>-591620</v>
      </c>
      <c r="G12" s="26">
        <f>D12+E12+F12-E9-F9</f>
        <v>-11879</v>
      </c>
      <c r="H12" s="132">
        <v>-15700</v>
      </c>
      <c r="I12" s="63">
        <v>-7000</v>
      </c>
      <c r="J12" s="63">
        <v>100</v>
      </c>
      <c r="K12" s="170">
        <f t="shared" si="3"/>
        <v>-22600</v>
      </c>
      <c r="L12" s="171">
        <v>-25</v>
      </c>
      <c r="M12" s="153"/>
      <c r="N12" s="149">
        <f t="shared" ref="N12:N55" si="7">L12+K12+G12+M12</f>
        <v>-34504</v>
      </c>
      <c r="O12" s="67">
        <f t="shared" si="1"/>
        <v>3157846.2083333335</v>
      </c>
      <c r="P12" s="7">
        <f t="shared" si="4"/>
        <v>18947077.25</v>
      </c>
      <c r="Q12" s="164">
        <f>Q11+N12-2</f>
        <v>3906891.45</v>
      </c>
      <c r="R12" s="29">
        <f t="shared" si="2"/>
        <v>2581.8673249488511</v>
      </c>
      <c r="S12" s="5">
        <f>SUM($Q$7:$Q12)/T12-2</f>
        <v>3945661.2833333332</v>
      </c>
      <c r="T12" s="17">
        <v>6</v>
      </c>
      <c r="U12" s="138">
        <f>B13</f>
        <v>44460</v>
      </c>
      <c r="V12" s="131">
        <v>2186.3000000000002</v>
      </c>
      <c r="W12" s="105">
        <v>-2286727</v>
      </c>
      <c r="X12" s="167">
        <f>AVERAGE(W12:W20)</f>
        <v>-2266288.3333333335</v>
      </c>
      <c r="Y12" s="156">
        <f>Y11-K12-L12</f>
        <v>-2286727</v>
      </c>
      <c r="Z12" s="217">
        <f>AVERAGE(Y12:Y20)</f>
        <v>-2266232.777777778</v>
      </c>
      <c r="AA12" s="92"/>
    </row>
    <row r="13" spans="2:255">
      <c r="B13" s="116">
        <v>44460</v>
      </c>
      <c r="C13" s="14"/>
      <c r="D13" s="87"/>
      <c r="E13" s="87">
        <v>0</v>
      </c>
      <c r="F13" s="23">
        <v>-588505</v>
      </c>
      <c r="G13" s="26">
        <f>D13+E13+F13-E12-F12</f>
        <v>3115</v>
      </c>
      <c r="H13" s="132">
        <v>-13700</v>
      </c>
      <c r="I13" s="63">
        <v>-1500</v>
      </c>
      <c r="J13" s="63">
        <v>-100</v>
      </c>
      <c r="K13" s="170">
        <f t="shared" si="3"/>
        <v>-15300</v>
      </c>
      <c r="L13" s="171">
        <v>-5</v>
      </c>
      <c r="M13" s="153"/>
      <c r="N13" s="149">
        <f t="shared" si="7"/>
        <v>-12190</v>
      </c>
      <c r="O13" s="67">
        <f t="shared" si="1"/>
        <v>3241279.5285714283</v>
      </c>
      <c r="P13" s="7">
        <f>(IF($Q13&lt;0,-$Q$3+P12,($Q13-$Q$3)+P12))</f>
        <v>22688956.699999999</v>
      </c>
      <c r="Q13" s="164">
        <f>Q12+N13</f>
        <v>3894701.45</v>
      </c>
      <c r="R13" s="29">
        <f t="shared" si="2"/>
        <v>2577.1034415388958</v>
      </c>
      <c r="S13" s="5">
        <f>SUM($Q$7:$Q13)/T13-2</f>
        <v>3938381.0214285711</v>
      </c>
      <c r="T13" s="17">
        <v>7</v>
      </c>
      <c r="U13" s="138">
        <f>B14+6</f>
        <v>44467</v>
      </c>
      <c r="V13" s="249"/>
      <c r="W13" s="105">
        <v>-2271422</v>
      </c>
      <c r="X13" s="167"/>
      <c r="Y13" s="156">
        <f>Y12-K13-L13</f>
        <v>-2271422</v>
      </c>
      <c r="Z13" s="217"/>
      <c r="AA13" s="92"/>
      <c r="AB13" s="92"/>
    </row>
    <row r="14" spans="2:255">
      <c r="B14" s="116">
        <v>44461</v>
      </c>
      <c r="C14" s="14"/>
      <c r="D14" s="87">
        <f>-344+44</f>
        <v>-300</v>
      </c>
      <c r="E14" s="87">
        <v>79</v>
      </c>
      <c r="F14" s="23">
        <v>-643434</v>
      </c>
      <c r="G14" s="26">
        <f>D14+E14+F14-E13-F13</f>
        <v>-55150</v>
      </c>
      <c r="H14" s="132">
        <v>-200</v>
      </c>
      <c r="I14" s="63">
        <v>-4200</v>
      </c>
      <c r="J14" s="63">
        <v>-100</v>
      </c>
      <c r="K14" s="170">
        <f t="shared" si="3"/>
        <v>-4500</v>
      </c>
      <c r="L14" s="171">
        <v>-2</v>
      </c>
      <c r="M14" s="154"/>
      <c r="N14" s="149">
        <f>L14+K14+G14+M14</f>
        <v>-59652</v>
      </c>
      <c r="O14" s="67">
        <f t="shared" si="1"/>
        <v>3296382.2687499998</v>
      </c>
      <c r="P14" s="7">
        <f t="shared" si="4"/>
        <v>26371058.149999999</v>
      </c>
      <c r="Q14" s="164">
        <f>Q13+N14-126</f>
        <v>3834923.45</v>
      </c>
      <c r="R14" s="29">
        <f t="shared" si="2"/>
        <v>2568.641671356218</v>
      </c>
      <c r="S14" s="5">
        <f>SUM($Q$7:$Q14)/T14-1</f>
        <v>3925449.5749999997</v>
      </c>
      <c r="T14" s="17">
        <v>8</v>
      </c>
      <c r="U14" s="4"/>
      <c r="V14" s="4"/>
      <c r="W14" s="105">
        <v>-2266952</v>
      </c>
      <c r="X14" s="167"/>
      <c r="Y14" s="156">
        <f>Y13-K14-L14-32</f>
        <v>-2266952</v>
      </c>
      <c r="Z14" s="217"/>
      <c r="AA14" s="92"/>
    </row>
    <row r="15" spans="2:255">
      <c r="B15" s="116">
        <v>44462</v>
      </c>
      <c r="C15" s="14" t="str">
        <f t="shared" si="0"/>
        <v/>
      </c>
      <c r="D15" s="87"/>
      <c r="E15" s="87">
        <v>15</v>
      </c>
      <c r="F15" s="23">
        <v>-653061</v>
      </c>
      <c r="G15" s="26">
        <f>D15+E15+F15-E14-F14</f>
        <v>-9691</v>
      </c>
      <c r="H15" s="132">
        <v>-200</v>
      </c>
      <c r="I15" s="63">
        <v>-4100</v>
      </c>
      <c r="J15" s="63">
        <v>-100</v>
      </c>
      <c r="K15" s="170">
        <f t="shared" si="3"/>
        <v>-4400</v>
      </c>
      <c r="L15" s="172">
        <v>4</v>
      </c>
      <c r="M15" s="153"/>
      <c r="N15" s="149">
        <f>L15+K15+G15+M15</f>
        <v>-14087</v>
      </c>
      <c r="O15" s="67">
        <f t="shared" si="1"/>
        <v>3337674.6222222219</v>
      </c>
      <c r="P15" s="7">
        <f t="shared" si="4"/>
        <v>30039071.599999998</v>
      </c>
      <c r="Q15" s="164">
        <f>Q14+N15-1</f>
        <v>3820835.45</v>
      </c>
      <c r="R15" s="29">
        <f t="shared" si="2"/>
        <v>2561.0361546257882</v>
      </c>
      <c r="S15" s="5">
        <f>SUM($Q$7:$Q15)/T15</f>
        <v>3913826.6722222217</v>
      </c>
      <c r="T15" s="17">
        <v>9</v>
      </c>
      <c r="U15" s="4"/>
      <c r="V15" s="4"/>
      <c r="W15" s="105">
        <v>-2262557</v>
      </c>
      <c r="X15" s="167"/>
      <c r="Y15" s="156">
        <f>Y14-K15-L15-1</f>
        <v>-2262557</v>
      </c>
      <c r="Z15" s="217"/>
      <c r="AA15" s="92"/>
      <c r="AB15" s="92"/>
    </row>
    <row r="16" spans="2:255" s="69" customFormat="1">
      <c r="B16" s="116">
        <v>44463</v>
      </c>
      <c r="C16" s="14"/>
      <c r="D16" s="129"/>
      <c r="E16" s="87">
        <v>18</v>
      </c>
      <c r="F16" s="23">
        <v>-686218</v>
      </c>
      <c r="G16" s="26">
        <f>D16+E16+F16-E15-F15</f>
        <v>-33154</v>
      </c>
      <c r="H16" s="132">
        <v>300</v>
      </c>
      <c r="I16" s="63">
        <v>-200</v>
      </c>
      <c r="J16" s="63">
        <v>-100</v>
      </c>
      <c r="K16" s="170">
        <f t="shared" si="3"/>
        <v>0</v>
      </c>
      <c r="L16" s="172">
        <v>1</v>
      </c>
      <c r="M16" s="153"/>
      <c r="N16" s="152">
        <f>L16+K16+G16+M16</f>
        <v>-33153</v>
      </c>
      <c r="O16" s="67">
        <f t="shared" si="1"/>
        <v>3367393.5049999999</v>
      </c>
      <c r="P16" s="70">
        <f t="shared" si="4"/>
        <v>33673935.049999997</v>
      </c>
      <c r="Q16" s="164">
        <f>Q15+N16+3</f>
        <v>3787685.45</v>
      </c>
      <c r="R16" s="71">
        <f t="shared" si="2"/>
        <v>2552.7820274567798</v>
      </c>
      <c r="S16" s="72">
        <f>SUM($Q$7:$Q16)/T16</f>
        <v>3901212.55</v>
      </c>
      <c r="T16" s="73">
        <v>10</v>
      </c>
      <c r="U16" s="218"/>
      <c r="V16" s="133"/>
      <c r="W16" s="105">
        <v>-2262659</v>
      </c>
      <c r="X16" s="167"/>
      <c r="Y16" s="156">
        <f>Y15-K16-L16-1</f>
        <v>-2262559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44464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3391708.9545454546</v>
      </c>
      <c r="P17" s="7">
        <f t="shared" si="4"/>
        <v>37308798.5</v>
      </c>
      <c r="Q17" s="164">
        <f t="shared" si="5"/>
        <v>3787685.45</v>
      </c>
      <c r="R17" s="29">
        <f t="shared" si="2"/>
        <v>2546.0286506821367</v>
      </c>
      <c r="S17" s="5">
        <f>SUM($Q$7:$Q17)/T17</f>
        <v>3890891.9045454548</v>
      </c>
      <c r="T17" s="18">
        <v>11</v>
      </c>
      <c r="U17" s="27"/>
      <c r="V17" s="136"/>
      <c r="W17" s="105">
        <v>-2262659</v>
      </c>
      <c r="X17" s="167"/>
      <c r="Y17" s="156">
        <f t="shared" si="6"/>
        <v>-2262559</v>
      </c>
      <c r="Z17" s="217"/>
      <c r="AA17" s="92"/>
      <c r="AC17" s="92"/>
    </row>
    <row r="18" spans="2:31">
      <c r="B18" s="116">
        <v>44465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3411971.8291666671</v>
      </c>
      <c r="P18" s="7">
        <f t="shared" si="4"/>
        <v>40943661.950000003</v>
      </c>
      <c r="Q18" s="164">
        <f t="shared" si="5"/>
        <v>3787685.45</v>
      </c>
      <c r="R18" s="29">
        <f t="shared" si="2"/>
        <v>2540.4001823472195</v>
      </c>
      <c r="S18" s="5">
        <f>SUM($Q$7:$Q18)/T18-1</f>
        <v>3882290.3666666672</v>
      </c>
      <c r="T18" s="18">
        <v>12</v>
      </c>
      <c r="U18" s="27"/>
      <c r="V18" s="136"/>
      <c r="W18" s="105">
        <v>-2262659</v>
      </c>
      <c r="X18" s="167"/>
      <c r="Y18" s="156">
        <f t="shared" si="6"/>
        <v>-2262559</v>
      </c>
      <c r="Z18" s="217"/>
      <c r="AA18" s="92"/>
    </row>
    <row r="19" spans="2:31">
      <c r="B19" s="116">
        <v>44466</v>
      </c>
      <c r="C19" s="14" t="str">
        <f t="shared" si="0"/>
        <v/>
      </c>
      <c r="D19" s="87"/>
      <c r="E19" s="87">
        <v>8</v>
      </c>
      <c r="F19" s="23">
        <v>-694243</v>
      </c>
      <c r="G19" s="26">
        <f>D19+E19+F19-E16-F16</f>
        <v>-8035</v>
      </c>
      <c r="H19" s="132">
        <v>300</v>
      </c>
      <c r="I19" s="63">
        <v>-7900</v>
      </c>
      <c r="J19" s="63">
        <v>-200</v>
      </c>
      <c r="K19" s="170">
        <f t="shared" si="3"/>
        <v>-7800</v>
      </c>
      <c r="L19" s="171">
        <v>-5</v>
      </c>
      <c r="M19" s="153"/>
      <c r="N19" s="149">
        <f t="shared" si="7"/>
        <v>-15840</v>
      </c>
      <c r="O19" s="67">
        <f t="shared" si="1"/>
        <v>3427898.8769230773</v>
      </c>
      <c r="P19" s="7">
        <f t="shared" si="4"/>
        <v>44562685.400000006</v>
      </c>
      <c r="Q19" s="164">
        <f>Q18+N19</f>
        <v>3771845.45</v>
      </c>
      <c r="R19" s="29">
        <f t="shared" si="2"/>
        <v>2534.8415325824012</v>
      </c>
      <c r="S19" s="5">
        <f>SUM($Q$7:$Q19)/T19</f>
        <v>3873795.5269230776</v>
      </c>
      <c r="T19" s="18">
        <v>13</v>
      </c>
      <c r="U19" s="138">
        <f>B19</f>
        <v>44466</v>
      </c>
      <c r="V19" s="131">
        <v>2143.1</v>
      </c>
      <c r="W19" s="105">
        <v>-2254854</v>
      </c>
      <c r="X19" s="167">
        <f>AVERAGE(W20:W27)</f>
        <v>-2309407.5</v>
      </c>
      <c r="Y19" s="156">
        <f>Y18-K19-L19</f>
        <v>-2254754</v>
      </c>
      <c r="Z19" s="217">
        <f>AVERAGE(Y20:Y27)</f>
        <v>-2309307.5</v>
      </c>
      <c r="AA19" s="92"/>
    </row>
    <row r="20" spans="2:31">
      <c r="B20" s="116">
        <v>44467</v>
      </c>
      <c r="C20" s="14"/>
      <c r="D20" s="87"/>
      <c r="E20" s="87">
        <v>0</v>
      </c>
      <c r="F20" s="23">
        <v>-744856</v>
      </c>
      <c r="G20" s="26">
        <f>D20+E20+F20-E19-F19</f>
        <v>-50621</v>
      </c>
      <c r="H20" s="132">
        <v>300</v>
      </c>
      <c r="I20" s="63">
        <v>11200</v>
      </c>
      <c r="J20" s="63">
        <v>-200</v>
      </c>
      <c r="K20" s="170">
        <f t="shared" si="3"/>
        <v>11300</v>
      </c>
      <c r="L20" s="171">
        <v>-48</v>
      </c>
      <c r="M20" s="153"/>
      <c r="N20" s="149">
        <f t="shared" si="7"/>
        <v>-39369</v>
      </c>
      <c r="O20" s="67">
        <f t="shared" si="1"/>
        <v>3438733.3464285722</v>
      </c>
      <c r="P20" s="7">
        <f t="shared" si="4"/>
        <v>48142266.850000009</v>
      </c>
      <c r="Q20" s="164">
        <f>Q19+N20-73</f>
        <v>3732403.45</v>
      </c>
      <c r="R20" s="29">
        <f t="shared" si="2"/>
        <v>2528.2322524617816</v>
      </c>
      <c r="S20" s="5">
        <f>SUM($Q$7:$Q20)/T20-1</f>
        <v>3863695.0928571438</v>
      </c>
      <c r="T20" s="18">
        <v>14</v>
      </c>
      <c r="U20" s="138">
        <f>B19+8</f>
        <v>44474</v>
      </c>
      <c r="V20" s="131"/>
      <c r="W20" s="105">
        <v>-2266106</v>
      </c>
      <c r="X20" s="167"/>
      <c r="Y20" s="156">
        <f>Y19-K20-L20</f>
        <v>-2266006</v>
      </c>
      <c r="Z20" s="217"/>
      <c r="AA20" s="92"/>
      <c r="AB20" s="92"/>
    </row>
    <row r="21" spans="2:31">
      <c r="B21" s="116">
        <v>44468</v>
      </c>
      <c r="C21" s="14" t="str">
        <f t="shared" si="0"/>
        <v/>
      </c>
      <c r="D21" s="87">
        <f>-79240-44+97538+147</f>
        <v>18401</v>
      </c>
      <c r="E21" s="87">
        <v>0</v>
      </c>
      <c r="F21" s="23">
        <v>-744980</v>
      </c>
      <c r="G21" s="26">
        <f>D21+E21+F21-E20-F20</f>
        <v>18277</v>
      </c>
      <c r="H21" s="132">
        <v>300</v>
      </c>
      <c r="I21" s="63">
        <v>7600</v>
      </c>
      <c r="J21" s="63">
        <v>-200</v>
      </c>
      <c r="K21" s="170">
        <f t="shared" si="3"/>
        <v>7700</v>
      </c>
      <c r="L21" s="171">
        <v>24</v>
      </c>
      <c r="M21" s="153"/>
      <c r="N21" s="149">
        <f>L21+K21+G21+M21</f>
        <v>26001</v>
      </c>
      <c r="O21" s="67">
        <f t="shared" si="1"/>
        <v>3449856.5533333342</v>
      </c>
      <c r="P21" s="7">
        <f t="shared" si="4"/>
        <v>51747848.300000012</v>
      </c>
      <c r="Q21" s="164">
        <f>Q20+N21-1</f>
        <v>3758403.45</v>
      </c>
      <c r="R21" s="29">
        <f t="shared" si="2"/>
        <v>2523.6389939493888</v>
      </c>
      <c r="S21" s="5">
        <f>SUM($Q$7:$Q21)/T21-1</f>
        <v>3856675.5833333344</v>
      </c>
      <c r="T21" s="18">
        <v>15</v>
      </c>
      <c r="U21" s="4"/>
      <c r="V21" s="131"/>
      <c r="W21" s="105">
        <v>-2273829</v>
      </c>
      <c r="X21" s="167"/>
      <c r="Y21" s="156">
        <f>Y20-K21-L21+1</f>
        <v>-2273729</v>
      </c>
      <c r="Z21" s="217"/>
      <c r="AA21" s="92"/>
    </row>
    <row r="22" spans="2:31">
      <c r="B22" s="116">
        <v>44469</v>
      </c>
      <c r="C22" s="14" t="str">
        <f t="shared" si="0"/>
        <v/>
      </c>
      <c r="D22" s="87">
        <f>-22145-3+2+1339</f>
        <v>-20807</v>
      </c>
      <c r="E22" s="87">
        <v>0</v>
      </c>
      <c r="F22" s="23">
        <v>-775009</v>
      </c>
      <c r="G22" s="26">
        <f>D22+E22+F22-E21-F21</f>
        <v>-50836</v>
      </c>
      <c r="H22" s="132">
        <v>300</v>
      </c>
      <c r="I22" s="63">
        <v>-9000</v>
      </c>
      <c r="J22" s="63">
        <v>-300</v>
      </c>
      <c r="K22" s="170">
        <f t="shared" si="3"/>
        <v>-9000</v>
      </c>
      <c r="L22" s="171">
        <v>17</v>
      </c>
      <c r="M22" s="153"/>
      <c r="N22" s="149">
        <f>L22+K22+G22+M22</f>
        <v>-59819</v>
      </c>
      <c r="O22" s="67">
        <f t="shared" si="1"/>
        <v>3455850.6093750009</v>
      </c>
      <c r="P22" s="7">
        <f t="shared" si="4"/>
        <v>55293609.750000015</v>
      </c>
      <c r="Q22" s="164">
        <f>Q21+N22-1</f>
        <v>3698583.45</v>
      </c>
      <c r="R22" s="29">
        <f t="shared" si="2"/>
        <v>2517.1734190757879</v>
      </c>
      <c r="S22" s="5">
        <f>SUM($Q$7:$Q22)/T22-1</f>
        <v>3846794.7625000011</v>
      </c>
      <c r="T22" s="18">
        <v>16</v>
      </c>
      <c r="U22" s="4"/>
      <c r="V22" s="131"/>
      <c r="W22" s="105">
        <v>-2264846</v>
      </c>
      <c r="X22" s="167"/>
      <c r="Y22" s="156">
        <f>Y21-K22-L22</f>
        <v>-2264746</v>
      </c>
      <c r="Z22" s="217"/>
      <c r="AA22" s="92"/>
    </row>
    <row r="23" spans="2:31">
      <c r="B23" s="116">
        <v>44470</v>
      </c>
      <c r="C23" s="14"/>
      <c r="D23" s="87"/>
      <c r="E23" s="87">
        <v>0</v>
      </c>
      <c r="F23" s="23">
        <v>-771105</v>
      </c>
      <c r="G23" s="26">
        <f>D23+E23+F23-E22-F22</f>
        <v>3904</v>
      </c>
      <c r="H23" s="132">
        <v>10300</v>
      </c>
      <c r="I23" s="63">
        <v>48700</v>
      </c>
      <c r="J23" s="63">
        <v>-300</v>
      </c>
      <c r="K23" s="170">
        <f t="shared" si="3"/>
        <v>58700</v>
      </c>
      <c r="L23" s="171">
        <v>-14</v>
      </c>
      <c r="M23" s="153"/>
      <c r="N23" s="149">
        <f>L23+K23+G23+M23</f>
        <v>62590</v>
      </c>
      <c r="O23" s="67">
        <f t="shared" si="1"/>
        <v>3464821.2470588246</v>
      </c>
      <c r="P23" s="7">
        <f t="shared" si="4"/>
        <v>58901961.200000018</v>
      </c>
      <c r="Q23" s="164">
        <f>Q22+N23</f>
        <v>3761173.45</v>
      </c>
      <c r="R23" s="29">
        <f t="shared" si="2"/>
        <v>2513.8783394291099</v>
      </c>
      <c r="S23" s="5">
        <f>SUM($Q$7:$Q23)/T23</f>
        <v>3841759.1558823544</v>
      </c>
      <c r="T23" s="18">
        <v>17</v>
      </c>
      <c r="U23" s="27"/>
      <c r="V23" s="135"/>
      <c r="W23" s="105">
        <v>-2323532</v>
      </c>
      <c r="X23" s="167"/>
      <c r="Y23" s="156">
        <f>Y22-K23-L23</f>
        <v>-2323432</v>
      </c>
      <c r="Z23" s="217"/>
      <c r="AA23" s="92"/>
    </row>
    <row r="24" spans="2:31">
      <c r="B24" s="116">
        <v>44471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3472795.1472222232</v>
      </c>
      <c r="P24" s="7">
        <f t="shared" si="4"/>
        <v>62510312.650000021</v>
      </c>
      <c r="Q24" s="164">
        <f>Q23+N24</f>
        <v>3761173.45</v>
      </c>
      <c r="R24" s="29">
        <f t="shared" si="2"/>
        <v>2510.9487980933532</v>
      </c>
      <c r="S24" s="5">
        <f>SUM($Q$7:$Q24)/T24</f>
        <v>3837282.1722222236</v>
      </c>
      <c r="T24" s="18">
        <v>18</v>
      </c>
      <c r="U24" s="4"/>
      <c r="V24" s="135"/>
      <c r="W24" s="105">
        <v>-2323532</v>
      </c>
      <c r="X24" s="167"/>
      <c r="Y24" s="156">
        <f t="shared" si="6"/>
        <v>-2323432</v>
      </c>
      <c r="Z24" s="217"/>
      <c r="AA24" s="92"/>
      <c r="AD24" s="1"/>
      <c r="AE24" s="1"/>
    </row>
    <row r="25" spans="2:31">
      <c r="B25" s="116">
        <v>44472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3479929.6894736853</v>
      </c>
      <c r="P25" s="7">
        <f t="shared" si="4"/>
        <v>66118664.100000024</v>
      </c>
      <c r="Q25" s="164">
        <f>Q24+N25</f>
        <v>3761173.45</v>
      </c>
      <c r="R25" s="29">
        <f t="shared" si="2"/>
        <v>2508.3269751737325</v>
      </c>
      <c r="S25" s="5">
        <f>SUM($Q$7:$Q25)/T25-1</f>
        <v>3833275.4500000016</v>
      </c>
      <c r="T25" s="18">
        <v>19</v>
      </c>
      <c r="U25" s="4"/>
      <c r="V25" s="131"/>
      <c r="W25" s="105">
        <v>-2323532</v>
      </c>
      <c r="X25" s="167"/>
      <c r="Y25" s="156">
        <f t="shared" si="6"/>
        <v>-2323432</v>
      </c>
      <c r="Z25" s="217"/>
      <c r="AA25" s="92"/>
      <c r="AD25" s="1"/>
      <c r="AE25" s="1"/>
    </row>
    <row r="26" spans="2:31">
      <c r="B26" s="116">
        <v>44473</v>
      </c>
      <c r="C26" s="14"/>
      <c r="D26" s="87"/>
      <c r="E26" s="87">
        <v>0</v>
      </c>
      <c r="F26" s="23">
        <v>-781355</v>
      </c>
      <c r="G26" s="26">
        <f>D26+E26+F26-E23-F23</f>
        <v>-10250</v>
      </c>
      <c r="H26" s="132">
        <v>300</v>
      </c>
      <c r="I26" s="63">
        <v>19400</v>
      </c>
      <c r="J26" s="63">
        <v>-400</v>
      </c>
      <c r="K26" s="170">
        <f t="shared" si="3"/>
        <v>19300</v>
      </c>
      <c r="L26" s="171">
        <v>-19</v>
      </c>
      <c r="M26" s="153"/>
      <c r="N26" s="149">
        <f t="shared" si="7"/>
        <v>9031</v>
      </c>
      <c r="O26" s="67">
        <f t="shared" si="1"/>
        <v>3486802.3275000015</v>
      </c>
      <c r="P26" s="7">
        <f t="shared" si="4"/>
        <v>69736046.550000027</v>
      </c>
      <c r="Q26" s="164">
        <f>Q25+N26</f>
        <v>3770204.45</v>
      </c>
      <c r="R26" s="29">
        <f t="shared" si="2"/>
        <v>2506.263397940088</v>
      </c>
      <c r="S26" s="5">
        <f>SUM($Q$7:$Q26)/T26-1</f>
        <v>3830121.8500000015</v>
      </c>
      <c r="T26" s="18">
        <v>20</v>
      </c>
      <c r="U26" s="138">
        <f>B26</f>
        <v>44473</v>
      </c>
      <c r="V26" s="131">
        <v>2150.3000000000002</v>
      </c>
      <c r="W26" s="105">
        <v>-2342813</v>
      </c>
      <c r="X26" s="167">
        <f>AVERAGE(W26:W34)</f>
        <v>-2361232.4444444445</v>
      </c>
      <c r="Y26" s="156">
        <f>Y25-K26-L26</f>
        <v>-2342713</v>
      </c>
      <c r="Z26" s="217">
        <f>AVERAGE(Y26:Y34)</f>
        <v>-2361132.4444444445</v>
      </c>
      <c r="AC26" s="92"/>
      <c r="AD26" s="1"/>
      <c r="AE26" s="1"/>
    </row>
    <row r="27" spans="2:31">
      <c r="B27" s="116">
        <v>44474</v>
      </c>
      <c r="C27" s="14" t="str">
        <f t="shared" si="0"/>
        <v/>
      </c>
      <c r="D27" s="87"/>
      <c r="E27" s="87">
        <v>0</v>
      </c>
      <c r="F27" s="23">
        <v>-784230</v>
      </c>
      <c r="G27" s="26">
        <f>D27+E27+F27-E26-F26</f>
        <v>-2875</v>
      </c>
      <c r="H27" s="132">
        <v>300</v>
      </c>
      <c r="I27" s="63">
        <v>14400</v>
      </c>
      <c r="J27" s="63">
        <v>-400</v>
      </c>
      <c r="K27" s="170">
        <f t="shared" si="3"/>
        <v>14300</v>
      </c>
      <c r="L27" s="171">
        <v>-44</v>
      </c>
      <c r="M27" s="153"/>
      <c r="N27" s="149">
        <f>L27+K27+G27+M27</f>
        <v>11381</v>
      </c>
      <c r="O27" s="67">
        <f t="shared" si="1"/>
        <v>3493562.3809523825</v>
      </c>
      <c r="P27" s="7">
        <f t="shared" si="4"/>
        <v>73364810.00000003</v>
      </c>
      <c r="Q27" s="164">
        <f>Q26+N27</f>
        <v>3781585.45</v>
      </c>
      <c r="R27" s="29">
        <f t="shared" si="2"/>
        <v>2504.7509816898723</v>
      </c>
      <c r="S27" s="5">
        <f>SUM($Q$7:$Q27)/T27-1</f>
        <v>3827810.5452380967</v>
      </c>
      <c r="T27" s="18">
        <v>21</v>
      </c>
      <c r="U27" s="138">
        <f>B28+6</f>
        <v>44481</v>
      </c>
      <c r="V27" s="159"/>
      <c r="W27" s="105">
        <v>-2357070</v>
      </c>
      <c r="X27" s="167"/>
      <c r="Y27" s="156">
        <f>Y26-K27-L27-1</f>
        <v>-2356970</v>
      </c>
      <c r="Z27" s="217"/>
      <c r="AA27" s="92"/>
      <c r="AD27" s="1"/>
      <c r="AE27" s="1"/>
    </row>
    <row r="28" spans="2:31">
      <c r="B28" s="116">
        <v>44475</v>
      </c>
      <c r="C28" s="14" t="str">
        <f t="shared" si="0"/>
        <v/>
      </c>
      <c r="D28" s="87">
        <f>-147+232</f>
        <v>85</v>
      </c>
      <c r="E28" s="87">
        <v>0</v>
      </c>
      <c r="F28" s="23">
        <v>-773695</v>
      </c>
      <c r="G28" s="26">
        <f>D28+E28+F28-E27-F27</f>
        <v>10620</v>
      </c>
      <c r="H28" s="132">
        <v>300</v>
      </c>
      <c r="I28" s="63">
        <v>-13400</v>
      </c>
      <c r="J28" s="63">
        <v>-500</v>
      </c>
      <c r="K28" s="170">
        <f t="shared" si="3"/>
        <v>-13600</v>
      </c>
      <c r="L28" s="171">
        <v>-2</v>
      </c>
      <c r="M28" s="153"/>
      <c r="N28" s="149">
        <f>L28+K28+G28+M28</f>
        <v>-2982</v>
      </c>
      <c r="O28" s="67">
        <f t="shared" si="1"/>
        <v>3499569.8840909107</v>
      </c>
      <c r="P28" s="7">
        <f t="shared" si="4"/>
        <v>76990537.450000033</v>
      </c>
      <c r="Q28" s="164">
        <f>Q27+N28-54</f>
        <v>3778549.45</v>
      </c>
      <c r="R28" s="29">
        <f t="shared" si="2"/>
        <v>2503.2857566913867</v>
      </c>
      <c r="S28" s="5">
        <f>SUM($Q$7:$Q28)/T28-1</f>
        <v>3825571.3590909108</v>
      </c>
      <c r="T28" s="18">
        <v>22</v>
      </c>
      <c r="U28" s="4"/>
      <c r="V28" s="131"/>
      <c r="W28" s="105">
        <v>-2343468</v>
      </c>
      <c r="X28" s="167"/>
      <c r="Y28" s="156">
        <f>Y27-K28-L28</f>
        <v>-2343368</v>
      </c>
      <c r="Z28" s="217"/>
      <c r="AA28" s="92"/>
      <c r="AD28" s="1"/>
      <c r="AE28" s="1"/>
    </row>
    <row r="29" spans="2:31">
      <c r="B29" s="116">
        <v>44476</v>
      </c>
      <c r="C29" s="14" t="str">
        <f t="shared" si="0"/>
        <v/>
      </c>
      <c r="D29" s="87"/>
      <c r="E29" s="87">
        <v>1</v>
      </c>
      <c r="F29" s="23">
        <v>-774071</v>
      </c>
      <c r="G29" s="26">
        <f>D29+E29+F29-E28-F28</f>
        <v>-375</v>
      </c>
      <c r="H29" s="132">
        <v>300</v>
      </c>
      <c r="I29" s="63">
        <v>10500</v>
      </c>
      <c r="J29" s="63">
        <v>-500</v>
      </c>
      <c r="K29" s="170">
        <f t="shared" si="3"/>
        <v>10300</v>
      </c>
      <c r="L29" s="171">
        <v>-5</v>
      </c>
      <c r="M29" s="153"/>
      <c r="N29" s="149">
        <f>L29+K29+G29+M29</f>
        <v>9920</v>
      </c>
      <c r="O29" s="67">
        <f t="shared" si="1"/>
        <v>3505486.3869565232</v>
      </c>
      <c r="P29" s="7">
        <f t="shared" si="4"/>
        <v>80626186.900000036</v>
      </c>
      <c r="Q29" s="164">
        <f>Q28+N29+2</f>
        <v>3788471.45</v>
      </c>
      <c r="R29" s="29">
        <f t="shared" si="2"/>
        <v>2502.2302260714805</v>
      </c>
      <c r="S29" s="5">
        <f>SUM($Q$7:$Q29)/T29-1</f>
        <v>3823958.2760869581</v>
      </c>
      <c r="T29" s="18">
        <v>23</v>
      </c>
      <c r="U29" s="4"/>
      <c r="V29" s="131"/>
      <c r="W29" s="105">
        <v>-2353765</v>
      </c>
      <c r="X29" s="167"/>
      <c r="Y29" s="156">
        <f>Y28-K29-L29-2</f>
        <v>-2353665</v>
      </c>
      <c r="Z29" s="217"/>
      <c r="AA29" s="92"/>
      <c r="AD29" s="1"/>
      <c r="AE29" s="1"/>
    </row>
    <row r="30" spans="2:31">
      <c r="B30" s="116">
        <v>44477</v>
      </c>
      <c r="C30" s="14" t="str">
        <f t="shared" si="0"/>
        <v/>
      </c>
      <c r="D30" s="87"/>
      <c r="E30" s="87">
        <v>0</v>
      </c>
      <c r="F30" s="23">
        <v>-779628</v>
      </c>
      <c r="G30" s="26">
        <f>D30+E30+F30-E29-F29</f>
        <v>-5558</v>
      </c>
      <c r="H30" s="132">
        <v>300</v>
      </c>
      <c r="I30" s="25">
        <v>23300</v>
      </c>
      <c r="J30" s="25">
        <v>-500</v>
      </c>
      <c r="K30" s="170">
        <f t="shared" si="3"/>
        <v>23100</v>
      </c>
      <c r="L30" s="171">
        <v>47</v>
      </c>
      <c r="M30" s="153"/>
      <c r="N30" s="149">
        <f>L30+K30+G30+M30</f>
        <v>17589</v>
      </c>
      <c r="O30" s="67">
        <f t="shared" si="1"/>
        <v>3511642.7229166683</v>
      </c>
      <c r="P30" s="7">
        <f t="shared" si="4"/>
        <v>84279425.350000039</v>
      </c>
      <c r="Q30" s="164">
        <f>Q29+N30</f>
        <v>3806060.45</v>
      </c>
      <c r="R30" s="29">
        <f t="shared" si="2"/>
        <v>2501.7467980177385</v>
      </c>
      <c r="S30" s="5">
        <f>SUM($Q$7:$Q30)/T30+6</f>
        <v>3823219.4916666686</v>
      </c>
      <c r="T30" s="18">
        <v>24</v>
      </c>
      <c r="U30" s="4"/>
      <c r="V30" s="131"/>
      <c r="W30" s="105">
        <v>-2376912</v>
      </c>
      <c r="X30" s="167"/>
      <c r="Y30" s="156">
        <f>Y29-K30-L30</f>
        <v>-2376812</v>
      </c>
      <c r="Z30" s="217"/>
      <c r="AA30" s="92"/>
      <c r="AD30" s="1"/>
      <c r="AE30" s="1"/>
    </row>
    <row r="31" spans="2:31">
      <c r="B31" s="116">
        <v>44478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3517306.5520000015</v>
      </c>
      <c r="P31" s="7">
        <f t="shared" si="4"/>
        <v>87932663.800000042</v>
      </c>
      <c r="Q31" s="164">
        <f t="shared" ref="Q31:Q46" si="8">Q30+N31</f>
        <v>3806060.45</v>
      </c>
      <c r="R31" s="29">
        <f t="shared" si="2"/>
        <v>2501.2952127311523</v>
      </c>
      <c r="S31" s="5">
        <f>SUM($Q$7:$Q31)/T31+2</f>
        <v>3822529.370000002</v>
      </c>
      <c r="T31" s="18">
        <v>25</v>
      </c>
      <c r="U31" s="4"/>
      <c r="V31" s="137"/>
      <c r="W31" s="105">
        <v>-2376912</v>
      </c>
      <c r="X31" s="167"/>
      <c r="Y31" s="156">
        <f t="shared" si="6"/>
        <v>-2376812</v>
      </c>
      <c r="Z31" s="217"/>
      <c r="AA31" s="92"/>
      <c r="AB31" s="92"/>
      <c r="AD31" s="1"/>
      <c r="AE31" s="1"/>
    </row>
    <row r="32" spans="2:31">
      <c r="B32" s="116">
        <v>44479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3522534.7019230789</v>
      </c>
      <c r="P32" s="7">
        <f t="shared" si="4"/>
        <v>91585902.250000045</v>
      </c>
      <c r="Q32" s="164">
        <f t="shared" si="8"/>
        <v>3806060.45</v>
      </c>
      <c r="R32" s="29">
        <f t="shared" si="2"/>
        <v>2500.8755460097882</v>
      </c>
      <c r="S32" s="5">
        <f>SUM($Q$7:$Q32)/T32-6</f>
        <v>3821888.0269230786</v>
      </c>
      <c r="T32" s="18">
        <v>26</v>
      </c>
      <c r="U32" s="27"/>
      <c r="V32" s="137"/>
      <c r="W32" s="105">
        <v>-2376912</v>
      </c>
      <c r="X32" s="167"/>
      <c r="Y32" s="156">
        <f t="shared" si="6"/>
        <v>-2376812</v>
      </c>
      <c r="Z32" s="217"/>
      <c r="AD32" s="1"/>
      <c r="AE32" s="1"/>
    </row>
    <row r="33" spans="2:31">
      <c r="B33" s="116">
        <v>44480</v>
      </c>
      <c r="C33" s="14" t="str">
        <f t="shared" si="0"/>
        <v/>
      </c>
      <c r="D33" s="87"/>
      <c r="E33" s="87">
        <v>0</v>
      </c>
      <c r="F33" s="23">
        <v>-776324</v>
      </c>
      <c r="G33" s="26">
        <f>D33+E33+F33-E30-F30</f>
        <v>3304</v>
      </c>
      <c r="H33" s="132">
        <v>300</v>
      </c>
      <c r="I33" s="25">
        <v>-15100</v>
      </c>
      <c r="J33" s="25">
        <v>-200</v>
      </c>
      <c r="K33" s="170">
        <f t="shared" si="3"/>
        <v>-15000</v>
      </c>
      <c r="L33" s="171">
        <v>6</v>
      </c>
      <c r="M33" s="153"/>
      <c r="N33" s="149">
        <f t="shared" si="7"/>
        <v>-11690</v>
      </c>
      <c r="O33" s="67">
        <f t="shared" si="1"/>
        <v>3526942.6185185201</v>
      </c>
      <c r="P33" s="7">
        <f t="shared" si="4"/>
        <v>95227450.700000048</v>
      </c>
      <c r="Q33" s="164">
        <f>Q32+N33</f>
        <v>3794370.45</v>
      </c>
      <c r="R33" s="29">
        <f t="shared" si="2"/>
        <v>2500.2117726408419</v>
      </c>
      <c r="S33" s="5">
        <f>SUM($Q$7:$Q33)/T33-1</f>
        <v>3820873.6351851872</v>
      </c>
      <c r="T33" s="18">
        <v>27</v>
      </c>
      <c r="U33" s="138">
        <f>B33</f>
        <v>44480</v>
      </c>
      <c r="V33" s="131">
        <v>2143.8000000000002</v>
      </c>
      <c r="W33" s="105">
        <v>-2361918</v>
      </c>
      <c r="X33" s="167">
        <f>AVERAGE(W33:W41)</f>
        <v>-2359928.777777778</v>
      </c>
      <c r="Y33" s="156">
        <f>Y32-K33-L33</f>
        <v>-2361818</v>
      </c>
      <c r="Z33" s="217">
        <f>AVERAGE(Y33:Y41)</f>
        <v>-2359839.888888889</v>
      </c>
      <c r="AD33" s="1"/>
      <c r="AE33" s="1"/>
    </row>
    <row r="34" spans="2:31">
      <c r="B34" s="116">
        <v>44481</v>
      </c>
      <c r="C34" s="14" t="str">
        <f t="shared" si="0"/>
        <v/>
      </c>
      <c r="D34" s="87"/>
      <c r="E34" s="87">
        <v>0</v>
      </c>
      <c r="F34" s="23">
        <v>-769979</v>
      </c>
      <c r="G34" s="26">
        <f>D34+E34+F34-E33-F33</f>
        <v>6345</v>
      </c>
      <c r="H34" s="132">
        <v>300</v>
      </c>
      <c r="I34" s="25">
        <v>-700</v>
      </c>
      <c r="J34" s="25">
        <v>-200</v>
      </c>
      <c r="K34" s="170">
        <f t="shared" si="3"/>
        <v>-600</v>
      </c>
      <c r="L34" s="171">
        <v>4</v>
      </c>
      <c r="M34" s="153"/>
      <c r="N34" s="149">
        <f>L34+K34+G34+M34</f>
        <v>5749</v>
      </c>
      <c r="O34" s="67">
        <f t="shared" si="1"/>
        <v>3531240.969642859</v>
      </c>
      <c r="P34" s="7">
        <f t="shared" si="4"/>
        <v>98874747.150000051</v>
      </c>
      <c r="Q34" s="164">
        <f>Q33+N34-1</f>
        <v>3800118.45</v>
      </c>
      <c r="R34" s="29">
        <f t="shared" si="2"/>
        <v>2499.7273578785416</v>
      </c>
      <c r="S34" s="5">
        <f>SUM($Q$7:$Q34)/T34</f>
        <v>3820133.3428571448</v>
      </c>
      <c r="T34" s="18">
        <v>28</v>
      </c>
      <c r="U34" s="138">
        <f>B33+8</f>
        <v>44488</v>
      </c>
      <c r="V34" s="131"/>
      <c r="W34" s="105">
        <v>-2361322</v>
      </c>
      <c r="X34" s="167"/>
      <c r="Y34" s="156">
        <f>Y33-K34-L34</f>
        <v>-2361222</v>
      </c>
      <c r="Z34" s="217"/>
      <c r="AA34" s="92"/>
      <c r="AD34" s="1"/>
      <c r="AE34" s="1"/>
    </row>
    <row r="35" spans="2:31">
      <c r="B35" s="116">
        <v>44482</v>
      </c>
      <c r="C35" s="14" t="str">
        <f t="shared" si="0"/>
        <v/>
      </c>
      <c r="D35" s="87">
        <f>-232+193</f>
        <v>-39</v>
      </c>
      <c r="E35" s="87">
        <v>10</v>
      </c>
      <c r="F35" s="23">
        <v>-779426</v>
      </c>
      <c r="G35" s="26">
        <f>D35+E35+F35-E34-F34</f>
        <v>-9476</v>
      </c>
      <c r="H35" s="132">
        <v>300</v>
      </c>
      <c r="I35" s="25">
        <v>7100</v>
      </c>
      <c r="J35" s="25">
        <v>-200</v>
      </c>
      <c r="K35" s="170">
        <f t="shared" si="3"/>
        <v>7200</v>
      </c>
      <c r="L35" s="171">
        <v>39</v>
      </c>
      <c r="M35" s="153"/>
      <c r="N35" s="149">
        <f t="shared" si="7"/>
        <v>-2237</v>
      </c>
      <c r="O35" s="67">
        <f t="shared" si="1"/>
        <v>3535165.8137931051</v>
      </c>
      <c r="P35" s="7">
        <f t="shared" si="4"/>
        <v>102519808.60000005</v>
      </c>
      <c r="Q35" s="164">
        <f>Q34+N35+2</f>
        <v>3797883.45</v>
      </c>
      <c r="R35" s="29">
        <f t="shared" si="2"/>
        <v>2499.225311259122</v>
      </c>
      <c r="S35" s="5">
        <f>SUM($Q$7:$Q35)/T35</f>
        <v>3819366.1051724157</v>
      </c>
      <c r="T35" s="18">
        <v>29</v>
      </c>
      <c r="U35" s="4"/>
      <c r="V35" s="131"/>
      <c r="W35" s="105">
        <v>-2368562</v>
      </c>
      <c r="X35" s="167"/>
      <c r="Y35" s="156">
        <f>Y34-K35-L35-1</f>
        <v>-2368462</v>
      </c>
      <c r="Z35" s="217"/>
      <c r="AA35" s="92"/>
      <c r="AD35" s="1"/>
      <c r="AE35" s="1"/>
    </row>
    <row r="36" spans="2:31">
      <c r="B36" s="116">
        <v>44483</v>
      </c>
      <c r="C36" s="14" t="str">
        <f t="shared" si="0"/>
        <v/>
      </c>
      <c r="D36" s="87"/>
      <c r="E36" s="87">
        <v>0</v>
      </c>
      <c r="F36" s="23">
        <v>-778675</v>
      </c>
      <c r="G36" s="26">
        <f>D36+E36+F36-E35-F35</f>
        <v>741</v>
      </c>
      <c r="H36" s="132">
        <v>300</v>
      </c>
      <c r="I36" s="25">
        <v>-13800</v>
      </c>
      <c r="J36" s="25">
        <v>-200</v>
      </c>
      <c r="K36" s="170">
        <f t="shared" si="3"/>
        <v>-13700</v>
      </c>
      <c r="L36" s="171">
        <v>38</v>
      </c>
      <c r="M36" s="153"/>
      <c r="N36" s="149">
        <f t="shared" si="7"/>
        <v>-12921</v>
      </c>
      <c r="O36" s="67">
        <f t="shared" si="1"/>
        <v>3538398.2016666685</v>
      </c>
      <c r="P36" s="7">
        <f t="shared" si="4"/>
        <v>106151946.05000006</v>
      </c>
      <c r="Q36" s="164">
        <f>Q35+N36-3</f>
        <v>3784959.45</v>
      </c>
      <c r="R36" s="29">
        <f t="shared" si="2"/>
        <v>2498.4591332836035</v>
      </c>
      <c r="S36" s="5">
        <f>SUM($Q$7:$Q36)/T36-24</f>
        <v>3818195.2166666687</v>
      </c>
      <c r="T36" s="18">
        <v>30</v>
      </c>
      <c r="U36" s="4"/>
      <c r="V36" s="136"/>
      <c r="W36" s="105">
        <v>-2354897</v>
      </c>
      <c r="X36" s="167"/>
      <c r="Y36" s="156">
        <f>Y35-K36-L36+3</f>
        <v>-2354797</v>
      </c>
      <c r="Z36" s="217"/>
      <c r="AD36" s="1"/>
      <c r="AE36" s="1"/>
    </row>
    <row r="37" spans="2:31">
      <c r="B37" s="116">
        <v>44484</v>
      </c>
      <c r="C37" s="14" t="str">
        <f t="shared" si="0"/>
        <v/>
      </c>
      <c r="D37" s="87"/>
      <c r="E37" s="87">
        <v>0</v>
      </c>
      <c r="F37" s="23">
        <v>-775115</v>
      </c>
      <c r="G37" s="26">
        <f>D37+E37+F37-E36-F36</f>
        <v>3560</v>
      </c>
      <c r="H37" s="132">
        <v>2800</v>
      </c>
      <c r="I37" s="25">
        <v>-4600</v>
      </c>
      <c r="J37" s="25">
        <v>-300</v>
      </c>
      <c r="K37" s="170">
        <f t="shared" si="3"/>
        <v>-2100</v>
      </c>
      <c r="L37" s="171">
        <v>6</v>
      </c>
      <c r="M37" s="153"/>
      <c r="N37" s="149">
        <f t="shared" si="7"/>
        <v>1466</v>
      </c>
      <c r="O37" s="67">
        <f t="shared" si="1"/>
        <v>3541469.3709677439</v>
      </c>
      <c r="P37" s="7">
        <f t="shared" si="4"/>
        <v>109785550.50000006</v>
      </c>
      <c r="Q37" s="164">
        <f>Q36+N37+1</f>
        <v>3786426.45</v>
      </c>
      <c r="R37" s="29">
        <f t="shared" si="2"/>
        <v>2497.804402211978</v>
      </c>
      <c r="S37" s="5">
        <f>SUM($Q$7:$Q37)/T37+1</f>
        <v>3817194.643548389</v>
      </c>
      <c r="T37" s="18">
        <v>31</v>
      </c>
      <c r="U37" s="27"/>
      <c r="V37" s="137"/>
      <c r="W37" s="105">
        <v>-2352801</v>
      </c>
      <c r="X37" s="167"/>
      <c r="Y37" s="156">
        <f>Y36-K37-L37+2</f>
        <v>-2352701</v>
      </c>
      <c r="Z37" s="217"/>
      <c r="AA37" s="92"/>
      <c r="AD37" s="1"/>
      <c r="AE37" s="1"/>
    </row>
    <row r="38" spans="2:31">
      <c r="B38" s="116">
        <v>44485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3544348.592187502</v>
      </c>
      <c r="P38" s="7">
        <f t="shared" si="4"/>
        <v>113419154.95000006</v>
      </c>
      <c r="Q38" s="164">
        <f t="shared" si="8"/>
        <v>3786426.45</v>
      </c>
      <c r="R38" s="29">
        <f t="shared" si="2"/>
        <v>2497.1746010064007</v>
      </c>
      <c r="S38" s="5">
        <f>SUM($Q$7:$Q38)/T38</f>
        <v>3816232.168750002</v>
      </c>
      <c r="T38" s="18">
        <v>32</v>
      </c>
      <c r="U38" s="27"/>
      <c r="V38" s="137"/>
      <c r="W38" s="105">
        <v>-2352801</v>
      </c>
      <c r="X38" s="167"/>
      <c r="Y38" s="156">
        <f t="shared" si="6"/>
        <v>-2352701</v>
      </c>
      <c r="Z38" s="217"/>
      <c r="AD38" s="1"/>
      <c r="AE38" s="1"/>
    </row>
    <row r="39" spans="2:31">
      <c r="B39" s="116">
        <v>44486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3547053.3151515173</v>
      </c>
      <c r="P39" s="7">
        <f t="shared" si="4"/>
        <v>117052759.40000007</v>
      </c>
      <c r="Q39" s="164">
        <f t="shared" si="8"/>
        <v>3786426.45</v>
      </c>
      <c r="R39" s="29">
        <f t="shared" si="2"/>
        <v>2496.5848929810613</v>
      </c>
      <c r="S39" s="5">
        <f>SUM($Q$7:$Q39)/T39+2</f>
        <v>3815330.9651515172</v>
      </c>
      <c r="T39" s="18">
        <v>33</v>
      </c>
      <c r="U39" s="27"/>
      <c r="V39" s="137"/>
      <c r="W39" s="105">
        <v>-2352801</v>
      </c>
      <c r="X39" s="167"/>
      <c r="Y39" s="156">
        <f t="shared" si="6"/>
        <v>-2352701</v>
      </c>
      <c r="Z39" s="217"/>
      <c r="AD39" s="1"/>
      <c r="AE39" s="1"/>
    </row>
    <row r="40" spans="2:31">
      <c r="B40" s="116">
        <v>44487</v>
      </c>
      <c r="C40" s="14" t="str">
        <f t="shared" si="0"/>
        <v/>
      </c>
      <c r="D40" s="87"/>
      <c r="E40" s="87">
        <v>0</v>
      </c>
      <c r="F40" s="23">
        <v>-773009</v>
      </c>
      <c r="G40" s="26">
        <f>D40+E40+F40-E37-F37</f>
        <v>2106</v>
      </c>
      <c r="H40" s="132">
        <v>300</v>
      </c>
      <c r="I40" s="25">
        <v>13700</v>
      </c>
      <c r="J40" s="25">
        <v>-100</v>
      </c>
      <c r="K40" s="170">
        <f t="shared" si="3"/>
        <v>13900</v>
      </c>
      <c r="L40" s="171">
        <v>40</v>
      </c>
      <c r="M40" s="153"/>
      <c r="N40" s="149">
        <f t="shared" si="7"/>
        <v>16046</v>
      </c>
      <c r="O40" s="67">
        <f t="shared" si="1"/>
        <v>3550070.7602941198</v>
      </c>
      <c r="P40" s="7">
        <f t="shared" si="4"/>
        <v>120702405.85000007</v>
      </c>
      <c r="Q40" s="164">
        <f>Q39+N40-4</f>
        <v>3802468.45</v>
      </c>
      <c r="R40" s="29">
        <f t="shared" si="2"/>
        <v>2496.3367281581741</v>
      </c>
      <c r="S40" s="5">
        <f>SUM($Q$7:$Q40)/T40+1</f>
        <v>3814951.7147058845</v>
      </c>
      <c r="T40" s="18">
        <v>34</v>
      </c>
      <c r="U40" s="138">
        <f>B40</f>
        <v>44487</v>
      </c>
      <c r="V40" s="131">
        <v>2181.1999999999998</v>
      </c>
      <c r="W40" s="105">
        <v>-2366740</v>
      </c>
      <c r="X40" s="167">
        <f>AVERAGE(W40:W48)</f>
        <v>-2363509.3333333335</v>
      </c>
      <c r="Y40" s="156">
        <f>Y39-K40-L40+1</f>
        <v>-2366640</v>
      </c>
      <c r="Z40" s="217">
        <f>AVERAGE(Y40:Y48)</f>
        <v>-2363498.222222222</v>
      </c>
      <c r="AD40" s="1"/>
      <c r="AE40" s="1"/>
    </row>
    <row r="41" spans="2:31">
      <c r="B41" s="116">
        <v>44488</v>
      </c>
      <c r="C41" s="14" t="str">
        <f t="shared" si="0"/>
        <v/>
      </c>
      <c r="D41" s="87"/>
      <c r="E41" s="87">
        <v>10</v>
      </c>
      <c r="F41" s="23">
        <v>-779854</v>
      </c>
      <c r="G41" s="26">
        <f>D41+E41+F41-E40-F40</f>
        <v>-6835</v>
      </c>
      <c r="H41" s="132">
        <v>300</v>
      </c>
      <c r="I41" s="25">
        <v>800</v>
      </c>
      <c r="J41" s="25">
        <v>-200</v>
      </c>
      <c r="K41" s="170">
        <f t="shared" si="3"/>
        <v>900</v>
      </c>
      <c r="L41" s="171">
        <v>-22</v>
      </c>
      <c r="M41" s="153"/>
      <c r="N41" s="149">
        <f t="shared" si="7"/>
        <v>-5957</v>
      </c>
      <c r="O41" s="67">
        <f t="shared" si="1"/>
        <v>3552745.5514285737</v>
      </c>
      <c r="P41" s="7">
        <f t="shared" si="4"/>
        <v>124346094.30000007</v>
      </c>
      <c r="Q41" s="164">
        <f>Q40+N41-1</f>
        <v>3796510.45</v>
      </c>
      <c r="R41" s="29">
        <f t="shared" si="2"/>
        <v>2495.9919710512895</v>
      </c>
      <c r="S41" s="5">
        <f>SUM($Q$7:$Q41)/T41+1</f>
        <v>3814424.850000002</v>
      </c>
      <c r="T41" s="18">
        <v>35</v>
      </c>
      <c r="U41" s="138">
        <f>B40+8</f>
        <v>44495</v>
      </c>
      <c r="V41" s="137"/>
      <c r="W41" s="105">
        <v>-2367517</v>
      </c>
      <c r="X41" s="167"/>
      <c r="Y41" s="156">
        <f>Y40-K41-L41+1</f>
        <v>-2367517</v>
      </c>
      <c r="Z41" s="217"/>
      <c r="AD41" s="1"/>
      <c r="AE41" s="1"/>
    </row>
    <row r="42" spans="2:31">
      <c r="B42" s="116">
        <v>44489</v>
      </c>
      <c r="C42" s="14" t="str">
        <f t="shared" si="0"/>
        <v/>
      </c>
      <c r="D42" s="87">
        <f>-193+63</f>
        <v>-130</v>
      </c>
      <c r="E42" s="87">
        <v>0</v>
      </c>
      <c r="F42" s="23">
        <v>-782341</v>
      </c>
      <c r="G42" s="26">
        <f t="shared" ref="G42:G44" si="9">D42+E42+F42-E41-F41</f>
        <v>-2627</v>
      </c>
      <c r="H42" s="132">
        <v>-13700</v>
      </c>
      <c r="I42" s="25">
        <v>6400</v>
      </c>
      <c r="J42" s="25">
        <v>-200</v>
      </c>
      <c r="K42" s="170">
        <f t="shared" si="3"/>
        <v>-7500</v>
      </c>
      <c r="L42" s="171">
        <v>24</v>
      </c>
      <c r="M42" s="153"/>
      <c r="N42" s="149">
        <f t="shared" si="7"/>
        <v>-10103</v>
      </c>
      <c r="O42" s="67">
        <f t="shared" si="1"/>
        <v>3554991.1041666688</v>
      </c>
      <c r="P42" s="7">
        <f t="shared" si="4"/>
        <v>127979679.75000007</v>
      </c>
      <c r="Q42" s="164">
        <f>Q41+N42</f>
        <v>3786407.45</v>
      </c>
      <c r="R42" s="29">
        <f t="shared" si="2"/>
        <v>2495.4801119385097</v>
      </c>
      <c r="S42" s="5">
        <f>SUM($Q$7:$Q42)/T42-3</f>
        <v>3813642.616666669</v>
      </c>
      <c r="T42" s="18">
        <v>36</v>
      </c>
      <c r="U42" s="27"/>
      <c r="V42" s="137"/>
      <c r="W42" s="105">
        <v>-2360041</v>
      </c>
      <c r="X42" s="167"/>
      <c r="Y42" s="156">
        <f>Y41-K42-L42</f>
        <v>-2360041</v>
      </c>
      <c r="Z42" s="217"/>
      <c r="AD42" s="1"/>
      <c r="AE42" s="1"/>
    </row>
    <row r="43" spans="2:31">
      <c r="B43" s="116">
        <v>44490</v>
      </c>
      <c r="C43" s="14" t="str">
        <f t="shared" si="0"/>
        <v/>
      </c>
      <c r="D43" s="87"/>
      <c r="E43" s="87">
        <v>0</v>
      </c>
      <c r="F43" s="23">
        <v>-776987</v>
      </c>
      <c r="G43" s="26">
        <f t="shared" si="9"/>
        <v>5354</v>
      </c>
      <c r="H43" s="132">
        <v>-11700</v>
      </c>
      <c r="I43" s="25">
        <v>13500</v>
      </c>
      <c r="J43" s="25">
        <v>-200</v>
      </c>
      <c r="K43" s="170">
        <f t="shared" si="3"/>
        <v>1600</v>
      </c>
      <c r="L43" s="171">
        <v>39</v>
      </c>
      <c r="M43" s="153"/>
      <c r="N43" s="149">
        <f t="shared" si="7"/>
        <v>6993</v>
      </c>
      <c r="O43" s="67">
        <f t="shared" si="1"/>
        <v>3557304.2756756777</v>
      </c>
      <c r="P43" s="7">
        <f t="shared" si="4"/>
        <v>131620258.20000008</v>
      </c>
      <c r="Q43" s="164">
        <f>Q42+N43</f>
        <v>3793400.45</v>
      </c>
      <c r="R43" s="29">
        <f t="shared" si="2"/>
        <v>2495.1220701207953</v>
      </c>
      <c r="S43" s="5">
        <f>SUM($Q$7:$Q43)/T43-3</f>
        <v>3813095.4500000016</v>
      </c>
      <c r="T43" s="18">
        <v>37</v>
      </c>
      <c r="U43" s="27"/>
      <c r="V43" s="137"/>
      <c r="W43" s="105">
        <v>-2361680</v>
      </c>
      <c r="X43" s="167"/>
      <c r="Y43" s="156">
        <f>Y42-K43-L43</f>
        <v>-2361680</v>
      </c>
      <c r="Z43" s="217"/>
      <c r="AD43" s="1"/>
      <c r="AE43" s="1"/>
    </row>
    <row r="44" spans="2:31">
      <c r="B44" s="116">
        <v>44491</v>
      </c>
      <c r="C44" s="14" t="str">
        <f t="shared" si="0"/>
        <v/>
      </c>
      <c r="D44" s="87"/>
      <c r="E44" s="87">
        <v>0</v>
      </c>
      <c r="F44" s="23">
        <v>-767575</v>
      </c>
      <c r="G44" s="26">
        <f t="shared" si="9"/>
        <v>9412</v>
      </c>
      <c r="H44" s="132">
        <v>1800</v>
      </c>
      <c r="I44" s="25">
        <v>750</v>
      </c>
      <c r="J44" s="25">
        <v>-200</v>
      </c>
      <c r="K44" s="170">
        <f t="shared" si="3"/>
        <v>2350</v>
      </c>
      <c r="L44" s="171">
        <v>1</v>
      </c>
      <c r="M44" s="153"/>
      <c r="N44" s="149">
        <f t="shared" si="7"/>
        <v>11763</v>
      </c>
      <c r="O44" s="67">
        <f t="shared" si="1"/>
        <v>3559805.2539473702</v>
      </c>
      <c r="P44" s="7">
        <f t="shared" si="4"/>
        <v>135272599.65000007</v>
      </c>
      <c r="Q44" s="164">
        <f>Q43+N44</f>
        <v>3805163.45</v>
      </c>
      <c r="R44" s="29">
        <f t="shared" si="2"/>
        <v>2494.9873933141353</v>
      </c>
      <c r="S44" s="5">
        <f>SUM($Q$7:$Q44)/T44</f>
        <v>3812889.6342105279</v>
      </c>
      <c r="T44" s="18">
        <v>38</v>
      </c>
      <c r="U44" s="27"/>
      <c r="V44" s="137"/>
      <c r="W44" s="105">
        <v>-2364032</v>
      </c>
      <c r="X44" s="167"/>
      <c r="Y44" s="156">
        <f>Y43-K44-L44-1</f>
        <v>-2364032</v>
      </c>
      <c r="Z44" s="217"/>
      <c r="AD44" s="1"/>
      <c r="AE44" s="1"/>
    </row>
    <row r="45" spans="2:31">
      <c r="B45" s="116">
        <v>44492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3562177.9769230783</v>
      </c>
      <c r="P45" s="7">
        <f t="shared" si="4"/>
        <v>138924941.10000005</v>
      </c>
      <c r="Q45" s="164">
        <f t="shared" si="8"/>
        <v>3805163.45</v>
      </c>
      <c r="R45" s="29">
        <f t="shared" si="2"/>
        <v>2494.8577606123977</v>
      </c>
      <c r="S45" s="5">
        <f>SUM($Q$7:$Q45)/T45</f>
        <v>3812691.5269230781</v>
      </c>
      <c r="T45" s="18">
        <v>39</v>
      </c>
      <c r="U45" s="27"/>
      <c r="V45" s="137"/>
      <c r="W45" s="105">
        <v>-2364032</v>
      </c>
      <c r="X45" s="167"/>
      <c r="Y45" s="156">
        <f>Y44-K45-L45</f>
        <v>-2364032</v>
      </c>
      <c r="Z45" s="217"/>
      <c r="AD45" s="1"/>
      <c r="AE45" s="1"/>
    </row>
    <row r="46" spans="2:31">
      <c r="B46" s="116">
        <v>44493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3564432.0637500011</v>
      </c>
      <c r="P46" s="7">
        <f t="shared" si="4"/>
        <v>142577282.55000004</v>
      </c>
      <c r="Q46" s="164">
        <f t="shared" si="8"/>
        <v>3805163.45</v>
      </c>
      <c r="R46" s="29">
        <f t="shared" si="2"/>
        <v>2494.732646477602</v>
      </c>
      <c r="S46" s="5">
        <f>SUM($Q$7:$Q46)/T46-3</f>
        <v>3812500.3250000007</v>
      </c>
      <c r="T46" s="18">
        <v>40</v>
      </c>
      <c r="U46" s="27"/>
      <c r="V46" s="137"/>
      <c r="W46" s="105">
        <v>-2364032</v>
      </c>
      <c r="X46" s="167"/>
      <c r="Y46" s="156">
        <f>Y45-K46-L46</f>
        <v>-2364032</v>
      </c>
      <c r="Z46" s="217"/>
      <c r="AD46" s="1"/>
      <c r="AE46" s="1"/>
    </row>
    <row r="47" spans="2:31">
      <c r="B47" s="116">
        <v>44494</v>
      </c>
      <c r="C47" s="14" t="str">
        <f t="shared" si="0"/>
        <v/>
      </c>
      <c r="D47" s="87"/>
      <c r="E47" s="87">
        <v>0</v>
      </c>
      <c r="F47" s="23">
        <v>-787301</v>
      </c>
      <c r="G47" s="26">
        <f>D47+E47+F47-E44-F44</f>
        <v>-19726</v>
      </c>
      <c r="H47" s="132">
        <v>-3700</v>
      </c>
      <c r="I47" s="25">
        <v>3550</v>
      </c>
      <c r="J47" s="25">
        <v>-600</v>
      </c>
      <c r="K47" s="170">
        <f t="shared" si="3"/>
        <v>-750</v>
      </c>
      <c r="L47" s="171">
        <v>37</v>
      </c>
      <c r="M47" s="153"/>
      <c r="N47" s="149">
        <f t="shared" si="7"/>
        <v>-20439</v>
      </c>
      <c r="O47" s="67">
        <f t="shared" si="1"/>
        <v>3566077.6829268299</v>
      </c>
      <c r="P47" s="7">
        <f t="shared" si="4"/>
        <v>146209185.00000003</v>
      </c>
      <c r="Q47" s="164">
        <f>Q46+N47</f>
        <v>3784724.45</v>
      </c>
      <c r="R47" s="29">
        <f t="shared" si="2"/>
        <v>2494.2892983100696</v>
      </c>
      <c r="S47" s="5">
        <f>SUM($Q$7:$Q47)/T47-3</f>
        <v>3811822.7914634151</v>
      </c>
      <c r="T47" s="18">
        <v>41</v>
      </c>
      <c r="U47" s="138">
        <f>B47</f>
        <v>44494</v>
      </c>
      <c r="V47" s="137"/>
      <c r="W47" s="105">
        <v>-2363318</v>
      </c>
      <c r="X47" s="167">
        <f>AVERAGE(W47:W55)</f>
        <v>-2369776.4444444445</v>
      </c>
      <c r="Y47" s="156">
        <f t="shared" ref="Y47" si="10">Y46-K47-L47+1</f>
        <v>-2363318</v>
      </c>
      <c r="Z47" s="217">
        <f>AVERAGE(Y47:Y55)</f>
        <v>-2369776.111111111</v>
      </c>
      <c r="AD47" s="1"/>
      <c r="AE47" s="1"/>
    </row>
    <row r="48" spans="2:31">
      <c r="B48" s="116">
        <v>44495</v>
      </c>
      <c r="C48" s="14" t="str">
        <f t="shared" si="0"/>
        <v/>
      </c>
      <c r="D48" s="87"/>
      <c r="E48" s="87">
        <v>0</v>
      </c>
      <c r="F48" s="23">
        <v>-786672</v>
      </c>
      <c r="G48" s="26">
        <f>D48+E48+F48-E47-F47</f>
        <v>629</v>
      </c>
      <c r="H48" s="132">
        <v>300</v>
      </c>
      <c r="I48" s="25">
        <v>-2700</v>
      </c>
      <c r="J48" s="25">
        <v>-700</v>
      </c>
      <c r="K48" s="170">
        <f t="shared" si="3"/>
        <v>-3100</v>
      </c>
      <c r="L48" s="171">
        <v>-26</v>
      </c>
      <c r="M48" s="153"/>
      <c r="N48" s="149">
        <f t="shared" si="7"/>
        <v>-2497</v>
      </c>
      <c r="O48" s="67">
        <f t="shared" si="1"/>
        <v>3567585.4869047622</v>
      </c>
      <c r="P48" s="7">
        <f t="shared" si="4"/>
        <v>149838590.45000002</v>
      </c>
      <c r="Q48" s="164">
        <f>Q47+N48</f>
        <v>3782227.45</v>
      </c>
      <c r="R48" s="29">
        <f t="shared" si="2"/>
        <v>2493.8281589349826</v>
      </c>
      <c r="S48" s="5">
        <f>SUM($Q$7:$Q48)/T48-3</f>
        <v>3811118.0690476191</v>
      </c>
      <c r="T48" s="18">
        <v>42</v>
      </c>
      <c r="U48" s="138">
        <f>B47+8</f>
        <v>44502</v>
      </c>
      <c r="V48" s="137"/>
      <c r="W48" s="105">
        <v>-2360192</v>
      </c>
      <c r="X48" s="167"/>
      <c r="Y48" s="156">
        <f>Y47-K48-L48</f>
        <v>-2360192</v>
      </c>
      <c r="Z48" s="217"/>
      <c r="AD48" s="1"/>
      <c r="AE48" s="1"/>
    </row>
    <row r="49" spans="2:31">
      <c r="B49" s="116">
        <v>44496</v>
      </c>
      <c r="C49" s="14" t="str">
        <f t="shared" si="0"/>
        <v/>
      </c>
      <c r="D49" s="87">
        <f>-63+103</f>
        <v>40</v>
      </c>
      <c r="E49" s="87">
        <v>3</v>
      </c>
      <c r="F49" s="23">
        <v>-787898</v>
      </c>
      <c r="G49" s="26">
        <f t="shared" ref="G49:G55" si="11">D49+E49+F49-E48-F48</f>
        <v>-1183</v>
      </c>
      <c r="H49" s="132">
        <v>300</v>
      </c>
      <c r="I49" s="25">
        <v>8300</v>
      </c>
      <c r="J49" s="25">
        <v>-700</v>
      </c>
      <c r="K49" s="170">
        <f t="shared" si="3"/>
        <v>7900</v>
      </c>
      <c r="L49" s="171">
        <v>9</v>
      </c>
      <c r="M49" s="153"/>
      <c r="N49" s="149">
        <f t="shared" si="7"/>
        <v>6726</v>
      </c>
      <c r="O49" s="67">
        <f t="shared" si="1"/>
        <v>3569179.5790697676</v>
      </c>
      <c r="P49" s="7">
        <f t="shared" si="4"/>
        <v>153474721.90000001</v>
      </c>
      <c r="Q49" s="164">
        <f>Q48+N49</f>
        <v>3788953.45</v>
      </c>
      <c r="R49" s="29">
        <f t="shared" si="2"/>
        <v>2493.4908213629292</v>
      </c>
      <c r="S49" s="5">
        <f>SUM($Q$7:$Q49)/T49-3</f>
        <v>3810602.5430232557</v>
      </c>
      <c r="T49" s="18">
        <v>43</v>
      </c>
      <c r="U49" s="138"/>
      <c r="V49" s="137"/>
      <c r="W49" s="105">
        <v>-2368102</v>
      </c>
      <c r="X49" s="167"/>
      <c r="Y49" s="156">
        <f>Y48-K49-L49+2</f>
        <v>-2368099</v>
      </c>
      <c r="Z49" s="217"/>
      <c r="AD49" s="1"/>
      <c r="AE49" s="1"/>
    </row>
    <row r="50" spans="2:31">
      <c r="B50" s="116">
        <v>44497</v>
      </c>
      <c r="C50" s="14" t="str">
        <f t="shared" si="0"/>
        <v/>
      </c>
      <c r="D50" s="87"/>
      <c r="E50" s="87">
        <v>3</v>
      </c>
      <c r="F50" s="23">
        <v>-783143</v>
      </c>
      <c r="G50" s="26">
        <f t="shared" si="11"/>
        <v>4755</v>
      </c>
      <c r="H50" s="132">
        <v>300</v>
      </c>
      <c r="I50" s="25">
        <v>-26500</v>
      </c>
      <c r="J50" s="25">
        <v>-700</v>
      </c>
      <c r="K50" s="170">
        <f t="shared" si="3"/>
        <v>-26900</v>
      </c>
      <c r="L50" s="171">
        <v>-7</v>
      </c>
      <c r="M50" s="153"/>
      <c r="N50" s="149">
        <f t="shared" si="7"/>
        <v>-22152</v>
      </c>
      <c r="O50" s="67">
        <f t="shared" si="1"/>
        <v>3570197.7579545453</v>
      </c>
      <c r="P50" s="7">
        <f t="shared" si="4"/>
        <v>157088701.34999999</v>
      </c>
      <c r="Q50" s="164">
        <f>Q49+N50</f>
        <v>3766801.45</v>
      </c>
      <c r="R50" s="29">
        <f t="shared" si="2"/>
        <v>2492.8393787900595</v>
      </c>
      <c r="S50" s="5">
        <f>SUM($Q$7:$Q50)/T50-3</f>
        <v>3809606.9954545451</v>
      </c>
      <c r="T50" s="18">
        <v>44</v>
      </c>
      <c r="U50" s="138"/>
      <c r="V50" s="137"/>
      <c r="W50" s="105">
        <v>-2341179</v>
      </c>
      <c r="X50" s="167"/>
      <c r="Y50" s="156">
        <f>Y49-K50-L50+13</f>
        <v>-2341179</v>
      </c>
      <c r="Z50" s="217"/>
      <c r="AD50" s="1"/>
      <c r="AE50" s="1"/>
    </row>
    <row r="51" spans="2:31">
      <c r="B51" s="116">
        <v>44498</v>
      </c>
      <c r="C51" s="14" t="str">
        <f t="shared" si="0"/>
        <v/>
      </c>
      <c r="D51" s="87"/>
      <c r="E51" s="87">
        <v>2</v>
      </c>
      <c r="F51" s="23">
        <v>-805575</v>
      </c>
      <c r="G51" s="26">
        <f t="shared" si="11"/>
        <v>-22433</v>
      </c>
      <c r="H51" s="132">
        <v>300</v>
      </c>
      <c r="I51" s="25">
        <v>15900</v>
      </c>
      <c r="J51" s="25">
        <v>-700</v>
      </c>
      <c r="K51" s="170">
        <f t="shared" si="3"/>
        <v>15500</v>
      </c>
      <c r="L51" s="171">
        <v>20</v>
      </c>
      <c r="M51" s="153"/>
      <c r="N51" s="149">
        <f>L51+K51+G51+M51</f>
        <v>-6913</v>
      </c>
      <c r="O51" s="67">
        <f t="shared" si="1"/>
        <v>3571017.0622222219</v>
      </c>
      <c r="P51" s="7">
        <f t="shared" si="4"/>
        <v>160695767.79999998</v>
      </c>
      <c r="Q51" s="164">
        <f>Q50+N51</f>
        <v>3759888.45</v>
      </c>
      <c r="R51" s="29">
        <f t="shared" si="2"/>
        <v>2492.1189830143708</v>
      </c>
      <c r="S51" s="5">
        <f>SUM($Q$7:$Q51)/T51+1</f>
        <v>3808506.0722222216</v>
      </c>
      <c r="T51" s="18">
        <v>45</v>
      </c>
      <c r="U51" s="138"/>
      <c r="V51" s="137"/>
      <c r="W51" s="105">
        <v>-2356699</v>
      </c>
      <c r="X51" s="167"/>
      <c r="Y51" s="156">
        <f>Y50-K51-L51</f>
        <v>-2356699</v>
      </c>
      <c r="Z51" s="217"/>
      <c r="AD51" s="1"/>
      <c r="AE51" s="1"/>
    </row>
    <row r="52" spans="2:31">
      <c r="B52" s="116">
        <v>44499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3571800.7445652168</v>
      </c>
      <c r="P52" s="7">
        <f t="shared" si="4"/>
        <v>164302834.24999997</v>
      </c>
      <c r="Q52" s="164">
        <f t="shared" ref="Q52:Q53" si="12">Q51+N52</f>
        <v>3759888.45</v>
      </c>
      <c r="R52" s="29">
        <f t="shared" si="2"/>
        <v>2491.4274051710054</v>
      </c>
      <c r="S52" s="5">
        <f>SUM($Q$7:$Q52)/T52+1</f>
        <v>3807449.1891304338</v>
      </c>
      <c r="T52" s="18">
        <v>46</v>
      </c>
      <c r="U52" s="138"/>
      <c r="V52" s="137"/>
      <c r="W52" s="105">
        <v>-2356699</v>
      </c>
      <c r="X52" s="167"/>
      <c r="Y52" s="156">
        <f>Y51-K52-L52</f>
        <v>-2356699</v>
      </c>
      <c r="Z52" s="217"/>
      <c r="AD52" s="1"/>
      <c r="AE52" s="1"/>
    </row>
    <row r="53" spans="2:31">
      <c r="B53" s="116">
        <v>44500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3572551.0787234032</v>
      </c>
      <c r="P53" s="7">
        <f t="shared" si="4"/>
        <v>167909900.69999996</v>
      </c>
      <c r="Q53" s="164">
        <f t="shared" si="12"/>
        <v>3759888.45</v>
      </c>
      <c r="R53" s="29">
        <f t="shared" si="2"/>
        <v>2490.7632931038938</v>
      </c>
      <c r="S53" s="5">
        <f>SUM($Q$7:$Q53)/T53-2</f>
        <v>3806434.2797872331</v>
      </c>
      <c r="T53" s="18">
        <v>47</v>
      </c>
      <c r="U53" s="138"/>
      <c r="V53" s="137"/>
      <c r="W53" s="105">
        <v>-2356699</v>
      </c>
      <c r="X53" s="167"/>
      <c r="Y53" s="156">
        <f>Y52-K53-L53</f>
        <v>-2356699</v>
      </c>
      <c r="Z53" s="217"/>
      <c r="AD53" s="1"/>
      <c r="AE53" s="1"/>
    </row>
    <row r="54" spans="2:31">
      <c r="B54" s="116">
        <v>44501</v>
      </c>
      <c r="C54" s="14" t="str">
        <f t="shared" si="0"/>
        <v/>
      </c>
      <c r="D54" s="87"/>
      <c r="E54" s="87">
        <v>2</v>
      </c>
      <c r="F54" s="23">
        <v>-801820</v>
      </c>
      <c r="G54" s="26">
        <f>D54+E54+F54-E51-F51</f>
        <v>3755</v>
      </c>
      <c r="H54" s="132">
        <v>300</v>
      </c>
      <c r="I54" s="25">
        <v>35800</v>
      </c>
      <c r="J54" s="25">
        <v>-200</v>
      </c>
      <c r="K54" s="170">
        <f t="shared" si="3"/>
        <v>35900</v>
      </c>
      <c r="L54" s="171">
        <v>47</v>
      </c>
      <c r="M54" s="153"/>
      <c r="N54" s="149">
        <f t="shared" si="7"/>
        <v>39702</v>
      </c>
      <c r="O54" s="67">
        <f t="shared" si="1"/>
        <v>3574097.3156249989</v>
      </c>
      <c r="P54" s="7">
        <f t="shared" si="4"/>
        <v>171556671.14999995</v>
      </c>
      <c r="Q54" s="164">
        <f>Q53+N54+2</f>
        <v>3799592.45</v>
      </c>
      <c r="R54" s="29">
        <f t="shared" si="2"/>
        <v>2490.6719582259088</v>
      </c>
      <c r="S54" s="5">
        <f>SUM($Q$7:$Q54)/T54+1</f>
        <v>3806294.6999999988</v>
      </c>
      <c r="T54" s="18">
        <v>48</v>
      </c>
      <c r="U54" s="138"/>
      <c r="V54" s="137"/>
      <c r="W54" s="105">
        <v>-2392648</v>
      </c>
      <c r="X54" s="167"/>
      <c r="Y54" s="156">
        <f t="shared" ref="Y54:Y55" si="13">Y53-K54-L54-2</f>
        <v>-2392648</v>
      </c>
      <c r="Z54" s="217"/>
      <c r="AD54" s="1"/>
      <c r="AE54" s="1"/>
    </row>
    <row r="55" spans="2:31">
      <c r="B55" s="116">
        <v>44502</v>
      </c>
      <c r="C55" s="14" t="str">
        <f t="shared" si="0"/>
        <v/>
      </c>
      <c r="D55" s="87"/>
      <c r="E55" s="87">
        <v>2</v>
      </c>
      <c r="F55" s="23">
        <v>-828121</v>
      </c>
      <c r="G55" s="26">
        <f t="shared" si="11"/>
        <v>-26301</v>
      </c>
      <c r="H55" s="132">
        <v>10300</v>
      </c>
      <c r="I55" s="25">
        <v>29700</v>
      </c>
      <c r="J55" s="25">
        <v>-200</v>
      </c>
      <c r="K55" s="170">
        <f t="shared" si="3"/>
        <v>39800</v>
      </c>
      <c r="L55" s="171">
        <v>2</v>
      </c>
      <c r="M55" s="153"/>
      <c r="N55" s="149">
        <f t="shared" si="7"/>
        <v>13501</v>
      </c>
      <c r="O55" s="67">
        <f t="shared" si="1"/>
        <v>3575856.0326530598</v>
      </c>
      <c r="P55" s="7">
        <f t="shared" si="4"/>
        <v>175216945.59999993</v>
      </c>
      <c r="Q55" s="164">
        <f>Q54+N55+3</f>
        <v>3813096.45</v>
      </c>
      <c r="R55" s="29">
        <f t="shared" si="2"/>
        <v>2490.7628035444186</v>
      </c>
      <c r="S55" s="5">
        <f>SUM($Q$7:$Q55)/T55+1</f>
        <v>3806433.5316326516</v>
      </c>
      <c r="T55" s="18">
        <v>49</v>
      </c>
      <c r="U55" s="138"/>
      <c r="V55" s="137"/>
      <c r="W55" s="105">
        <v>-2432452</v>
      </c>
      <c r="X55" s="167"/>
      <c r="Y55" s="156">
        <f t="shared" si="13"/>
        <v>-2432452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'Aug 2021'!Q55</f>
        <v>3753504.45</v>
      </c>
    </row>
    <row r="60" spans="2:31">
      <c r="D60" s="138" t="s">
        <v>4</v>
      </c>
      <c r="E60" s="139"/>
      <c r="F60" s="143"/>
      <c r="G60" s="91">
        <f>'Aug 2021'!E55</f>
        <v>14</v>
      </c>
    </row>
    <row r="61" spans="2:31">
      <c r="D61" s="138" t="s">
        <v>60</v>
      </c>
      <c r="E61" s="144"/>
      <c r="F61" s="143"/>
      <c r="G61" s="91">
        <f>'Aug 2021'!F55</f>
        <v>-822054</v>
      </c>
    </row>
    <row r="62" spans="2:31" ht="12.75" thickBot="1">
      <c r="D62" s="140" t="s">
        <v>46</v>
      </c>
      <c r="E62" s="145"/>
      <c r="F62" s="146"/>
      <c r="G62" s="158">
        <f>'Aug 2021'!Y55</f>
        <v>-2363784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  <ignoredErrors>
    <ignoredError sqref="S53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DC85-9C17-4939-94D9-D258252855C3}">
  <sheetPr codeName="Sheet28">
    <pageSetUpPr fitToPage="1"/>
  </sheetPr>
  <dimension ref="B1:IU65513"/>
  <sheetViews>
    <sheetView zoomScaleNormal="100" workbookViewId="0">
      <pane xSplit="2" ySplit="6" topLeftCell="F37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154236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44503</v>
      </c>
      <c r="C7" s="196" t="str">
        <f t="shared" ref="C7:C55" si="0">IF(OR(WEEKDAY(B7)=1,WEEKDAY(B7)=7),"F","")</f>
        <v/>
      </c>
      <c r="D7" s="197">
        <f>-100+68</f>
        <v>-32</v>
      </c>
      <c r="E7" s="197">
        <v>2</v>
      </c>
      <c r="F7" s="198">
        <v>-598601</v>
      </c>
      <c r="G7" s="199">
        <f>D7+E7+F7-G60-G61</f>
        <v>229488</v>
      </c>
      <c r="H7" s="132">
        <v>300</v>
      </c>
      <c r="I7" s="63">
        <v>-8200</v>
      </c>
      <c r="J7" s="63">
        <v>-300</v>
      </c>
      <c r="K7" s="168">
        <f>+H7+I7+J7</f>
        <v>-8200</v>
      </c>
      <c r="L7" s="169">
        <v>50</v>
      </c>
      <c r="M7" s="203"/>
      <c r="N7" s="204">
        <f>L7+K7+G7+M7</f>
        <v>221338</v>
      </c>
      <c r="O7" s="205">
        <f t="shared" ref="O7:O55" si="1">P7/T7</f>
        <v>3880194.45</v>
      </c>
      <c r="P7" s="206">
        <f>(+$Q7-$Q$3)</f>
        <v>3880194.45</v>
      </c>
      <c r="Q7" s="207">
        <f>G59+N7-4</f>
        <v>4034430.45</v>
      </c>
      <c r="R7" s="208">
        <f t="shared" ref="R7:R55" si="2">$S7/$Q$3*100</f>
        <v>2615.7514782541043</v>
      </c>
      <c r="S7" s="209">
        <f>$Q7</f>
        <v>4034430.45</v>
      </c>
      <c r="T7" s="210">
        <v>1</v>
      </c>
      <c r="U7" s="211">
        <f>B7</f>
        <v>44503</v>
      </c>
      <c r="V7" s="212">
        <v>2125.6</v>
      </c>
      <c r="W7" s="213">
        <v>-2424302</v>
      </c>
      <c r="X7" s="214">
        <f>AVERAGE(W7:W11)</f>
        <v>-2429582.4</v>
      </c>
      <c r="Y7" s="215">
        <f>G62-K7-50</f>
        <v>-2424302</v>
      </c>
      <c r="Z7" s="216">
        <f>AVERAGE(Y7:Y13)</f>
        <v>-2431276.2857142859</v>
      </c>
      <c r="AA7" s="92"/>
    </row>
    <row r="8" spans="2:255">
      <c r="B8" s="116">
        <v>44504</v>
      </c>
      <c r="C8" s="14"/>
      <c r="D8" s="307"/>
      <c r="E8" s="128">
        <v>0</v>
      </c>
      <c r="F8" s="162">
        <v>-603199</v>
      </c>
      <c r="G8" s="26">
        <f>D8+E8+F8-E7-F7</f>
        <v>-4600</v>
      </c>
      <c r="H8" s="132">
        <v>300</v>
      </c>
      <c r="I8" s="63">
        <v>4000</v>
      </c>
      <c r="J8" s="63">
        <v>-300</v>
      </c>
      <c r="K8" s="170">
        <f t="shared" ref="K8:K55" si="3">+H8+I8+J8</f>
        <v>4000</v>
      </c>
      <c r="L8" s="171">
        <v>37</v>
      </c>
      <c r="M8" s="153"/>
      <c r="N8" s="149">
        <f>L8+K8+G8+M8</f>
        <v>-563</v>
      </c>
      <c r="O8" s="67">
        <f t="shared" si="1"/>
        <v>1939815.2250000001</v>
      </c>
      <c r="P8" s="163">
        <f>(IF($Q8&lt;0,-$Q$3+P6,($Q8-$Q$3)+P6))</f>
        <v>3879630.45</v>
      </c>
      <c r="Q8" s="164">
        <f>Q7+N8-1</f>
        <v>4033866.45</v>
      </c>
      <c r="R8" s="29">
        <f t="shared" si="2"/>
        <v>2615.5686415622813</v>
      </c>
      <c r="S8" s="165">
        <f>SUM($Q$7:$Q8)/T8</f>
        <v>4034148.45</v>
      </c>
      <c r="T8" s="166">
        <v>2</v>
      </c>
      <c r="U8" s="138">
        <f>B7+6</f>
        <v>44509</v>
      </c>
      <c r="V8" s="131"/>
      <c r="W8" s="105">
        <v>-2428339</v>
      </c>
      <c r="X8" s="167"/>
      <c r="Y8" s="156">
        <f>Y7-K8-L8</f>
        <v>-2428339</v>
      </c>
      <c r="Z8" s="217"/>
      <c r="AA8" s="92"/>
    </row>
    <row r="9" spans="2:255">
      <c r="B9" s="116">
        <v>44505</v>
      </c>
      <c r="C9" s="14" t="str">
        <f t="shared" si="0"/>
        <v/>
      </c>
      <c r="D9" s="87"/>
      <c r="E9" s="87">
        <v>0</v>
      </c>
      <c r="F9" s="23">
        <v>-617519</v>
      </c>
      <c r="G9" s="26">
        <f>D9+E9+F9-E8-F8</f>
        <v>-14320</v>
      </c>
      <c r="H9" s="132">
        <v>300</v>
      </c>
      <c r="I9" s="63">
        <v>3400</v>
      </c>
      <c r="J9" s="63">
        <v>-300</v>
      </c>
      <c r="K9" s="170">
        <f t="shared" si="3"/>
        <v>3400</v>
      </c>
      <c r="L9" s="171">
        <v>20</v>
      </c>
      <c r="M9" s="153"/>
      <c r="N9" s="149">
        <f>L9+K9+G9+M9</f>
        <v>-10900</v>
      </c>
      <c r="O9" s="67">
        <f t="shared" si="1"/>
        <v>2582974.9666666668</v>
      </c>
      <c r="P9" s="7">
        <f>(IF($Q9&lt;0,-$Q$3+P7,($Q9-$Q$3)+P7))</f>
        <v>7748924.9000000004</v>
      </c>
      <c r="Q9" s="164">
        <f>Q8+N9</f>
        <v>4022966.45</v>
      </c>
      <c r="R9" s="29">
        <f t="shared" si="2"/>
        <v>2613.1526470257704</v>
      </c>
      <c r="S9" s="5">
        <f>SUM($Q$7:$Q9)/T9+1</f>
        <v>4030422.1166666672</v>
      </c>
      <c r="T9" s="17">
        <v>3</v>
      </c>
      <c r="U9" s="4"/>
      <c r="V9" s="131"/>
      <c r="W9" s="105">
        <v>-2431757</v>
      </c>
      <c r="X9" s="167"/>
      <c r="Y9" s="156">
        <f>Y8-K9-L9+2</f>
        <v>-2431757</v>
      </c>
      <c r="Z9" s="217"/>
      <c r="AA9" s="92"/>
    </row>
    <row r="10" spans="2:255">
      <c r="B10" s="116">
        <v>44506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2904413.8375000004</v>
      </c>
      <c r="P10" s="7">
        <f t="shared" ref="P10:P55" si="4">(IF($Q10&lt;0,-$Q$3+P9,($Q10-$Q$3)+P9))</f>
        <v>11617655.350000001</v>
      </c>
      <c r="Q10" s="164">
        <f>Q9+N10</f>
        <v>4022966.45</v>
      </c>
      <c r="R10" s="29">
        <f t="shared" si="2"/>
        <v>2611.9430288648564</v>
      </c>
      <c r="S10" s="5">
        <f>SUM($Q$7:$Q10)/T10-1</f>
        <v>4028556.45</v>
      </c>
      <c r="T10" s="17">
        <v>4</v>
      </c>
      <c r="U10" s="27"/>
      <c r="V10" s="133"/>
      <c r="W10" s="105">
        <v>-2431757</v>
      </c>
      <c r="X10" s="167"/>
      <c r="Y10" s="156">
        <f>Y9-K10-L10</f>
        <v>-2431757</v>
      </c>
      <c r="Z10" s="217"/>
      <c r="AA10" s="92"/>
    </row>
    <row r="11" spans="2:255">
      <c r="B11" s="116">
        <v>44507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3097277.16</v>
      </c>
      <c r="P11" s="7">
        <f t="shared" si="4"/>
        <v>15486385.800000001</v>
      </c>
      <c r="Q11" s="164">
        <f t="shared" ref="Q11:Q18" si="5">Q10+N11</f>
        <v>4022966.45</v>
      </c>
      <c r="R11" s="29">
        <f t="shared" si="2"/>
        <v>2611.2180359967842</v>
      </c>
      <c r="S11" s="5">
        <f>SUM($Q$7:$Q11)/T11-1</f>
        <v>4027438.25</v>
      </c>
      <c r="T11" s="17">
        <v>5</v>
      </c>
      <c r="U11" s="27"/>
      <c r="V11" s="134"/>
      <c r="W11" s="105">
        <v>-2431757</v>
      </c>
      <c r="X11" s="167"/>
      <c r="Y11" s="156">
        <f t="shared" ref="Y11:Y39" si="6">Y10-K11-L11</f>
        <v>-2431757</v>
      </c>
      <c r="Z11" s="217"/>
      <c r="AA11" s="92"/>
    </row>
    <row r="12" spans="2:255">
      <c r="B12" s="116">
        <v>44508</v>
      </c>
      <c r="C12" s="14" t="str">
        <f t="shared" si="0"/>
        <v/>
      </c>
      <c r="D12" s="87"/>
      <c r="E12" s="161">
        <v>0</v>
      </c>
      <c r="F12" s="23">
        <v>-633310</v>
      </c>
      <c r="G12" s="26">
        <f>D12+E12+F12-E9-F9</f>
        <v>-15791</v>
      </c>
      <c r="H12" s="132">
        <v>300</v>
      </c>
      <c r="I12" s="63">
        <v>-4700</v>
      </c>
      <c r="J12" s="63">
        <v>-100</v>
      </c>
      <c r="K12" s="170">
        <f t="shared" si="3"/>
        <v>-4500</v>
      </c>
      <c r="L12" s="171">
        <v>22</v>
      </c>
      <c r="M12" s="153"/>
      <c r="N12" s="149">
        <f t="shared" ref="N12:N55" si="7">L12+K12+G12+M12</f>
        <v>-20269</v>
      </c>
      <c r="O12" s="67">
        <f t="shared" si="1"/>
        <v>3222474.2083333335</v>
      </c>
      <c r="P12" s="7">
        <f t="shared" si="4"/>
        <v>19334845.25</v>
      </c>
      <c r="Q12" s="164">
        <f>Q11+N12-2</f>
        <v>4002695.45</v>
      </c>
      <c r="R12" s="29">
        <f t="shared" si="2"/>
        <v>2608.5435847229787</v>
      </c>
      <c r="S12" s="5">
        <f>SUM($Q$7:$Q12)/T12-2</f>
        <v>4023313.2833333332</v>
      </c>
      <c r="T12" s="17">
        <v>6</v>
      </c>
      <c r="U12" s="138">
        <f>B13</f>
        <v>44509</v>
      </c>
      <c r="V12" s="131">
        <v>2171.6999999999998</v>
      </c>
      <c r="W12" s="105">
        <v>-2427279</v>
      </c>
      <c r="X12" s="167">
        <f>AVERAGE(W12:W20)</f>
        <v>-2420260.888888889</v>
      </c>
      <c r="Y12" s="156">
        <f>Y11-K12-L12</f>
        <v>-2427279</v>
      </c>
      <c r="Z12" s="217">
        <f>AVERAGE(Y12:Y20)</f>
        <v>-2420260.888888889</v>
      </c>
      <c r="AA12" s="92"/>
    </row>
    <row r="13" spans="2:255">
      <c r="B13" s="116">
        <v>44509</v>
      </c>
      <c r="C13" s="14"/>
      <c r="D13" s="87"/>
      <c r="E13" s="87">
        <v>0</v>
      </c>
      <c r="F13" s="23">
        <v>-634178</v>
      </c>
      <c r="G13" s="26">
        <f>D13+E13+F13-E12-F12</f>
        <v>-868</v>
      </c>
      <c r="H13" s="132">
        <v>300</v>
      </c>
      <c r="I13" s="63">
        <v>16300</v>
      </c>
      <c r="J13" s="63">
        <v>-100</v>
      </c>
      <c r="K13" s="170">
        <f t="shared" si="3"/>
        <v>16500</v>
      </c>
      <c r="L13" s="171">
        <v>-36</v>
      </c>
      <c r="M13" s="153"/>
      <c r="N13" s="149">
        <f t="shared" si="7"/>
        <v>15596</v>
      </c>
      <c r="O13" s="67">
        <f t="shared" si="1"/>
        <v>3314128.8142857142</v>
      </c>
      <c r="P13" s="7">
        <f>(IF($Q13&lt;0,-$Q$3+P12,($Q13-$Q$3)+P12))</f>
        <v>23198901.699999999</v>
      </c>
      <c r="Q13" s="164">
        <f>Q12+N13+1</f>
        <v>4018292.45</v>
      </c>
      <c r="R13" s="29">
        <f t="shared" si="2"/>
        <v>2608.0783576559852</v>
      </c>
      <c r="S13" s="5">
        <f>SUM($Q$7:$Q13)/T13-2</f>
        <v>4022595.7357142856</v>
      </c>
      <c r="T13" s="17">
        <v>7</v>
      </c>
      <c r="U13" s="138">
        <f>B14+6</f>
        <v>44516</v>
      </c>
      <c r="V13" s="249"/>
      <c r="W13" s="105">
        <v>-2443743</v>
      </c>
      <c r="X13" s="167"/>
      <c r="Y13" s="156">
        <f t="shared" ref="Y13:Y14" si="8">Y12-K13-L13</f>
        <v>-2443743</v>
      </c>
      <c r="Z13" s="217"/>
      <c r="AA13" s="92"/>
      <c r="AB13" s="92"/>
    </row>
    <row r="14" spans="2:255">
      <c r="B14" s="116">
        <v>44510</v>
      </c>
      <c r="C14" s="14"/>
      <c r="D14" s="87">
        <f>-68+254</f>
        <v>186</v>
      </c>
      <c r="E14" s="87">
        <v>0</v>
      </c>
      <c r="F14" s="23">
        <v>-649681</v>
      </c>
      <c r="G14" s="26">
        <f>D14+E14+F14-E13-F13</f>
        <v>-15317</v>
      </c>
      <c r="H14" s="132">
        <v>300</v>
      </c>
      <c r="I14" s="63">
        <v>-13800</v>
      </c>
      <c r="J14" s="63">
        <v>-200</v>
      </c>
      <c r="K14" s="170">
        <f t="shared" si="3"/>
        <v>-13700</v>
      </c>
      <c r="L14" s="171">
        <v>0</v>
      </c>
      <c r="M14" s="154"/>
      <c r="N14" s="149">
        <f>L14+K14+G14+M14</f>
        <v>-29017</v>
      </c>
      <c r="O14" s="67">
        <f t="shared" si="1"/>
        <v>3379242.5187499998</v>
      </c>
      <c r="P14" s="7">
        <f t="shared" si="4"/>
        <v>27033940.149999999</v>
      </c>
      <c r="Q14" s="164">
        <f>Q13+N14-1</f>
        <v>3989274.45</v>
      </c>
      <c r="R14" s="29">
        <f t="shared" si="2"/>
        <v>2605.3783325553045</v>
      </c>
      <c r="S14" s="5">
        <f>SUM($Q$7:$Q14)/T14-1</f>
        <v>4018431.3249999997</v>
      </c>
      <c r="T14" s="17">
        <v>8</v>
      </c>
      <c r="U14" s="4"/>
      <c r="V14" s="4"/>
      <c r="W14" s="105">
        <v>-2430043</v>
      </c>
      <c r="X14" s="167"/>
      <c r="Y14" s="156">
        <f t="shared" si="8"/>
        <v>-2430043</v>
      </c>
      <c r="Z14" s="217"/>
      <c r="AA14" s="92"/>
    </row>
    <row r="15" spans="2:255">
      <c r="B15" s="116">
        <v>44511</v>
      </c>
      <c r="C15" s="14" t="str">
        <f t="shared" si="0"/>
        <v/>
      </c>
      <c r="D15" s="87"/>
      <c r="E15" s="87">
        <v>0</v>
      </c>
      <c r="F15" s="23">
        <v>-693380</v>
      </c>
      <c r="G15" s="26">
        <f>D15+E15+F15-E14-F14</f>
        <v>-43699</v>
      </c>
      <c r="H15" s="132">
        <v>300</v>
      </c>
      <c r="I15" s="63">
        <v>-3700</v>
      </c>
      <c r="J15" s="63">
        <v>-200</v>
      </c>
      <c r="K15" s="170">
        <f t="shared" si="3"/>
        <v>-3600</v>
      </c>
      <c r="L15" s="172">
        <v>37</v>
      </c>
      <c r="M15" s="153"/>
      <c r="N15" s="149">
        <f>L15+K15+G15+M15</f>
        <v>-47262</v>
      </c>
      <c r="O15" s="67">
        <f t="shared" si="1"/>
        <v>3424635.4</v>
      </c>
      <c r="P15" s="7">
        <f t="shared" si="4"/>
        <v>30821718.599999998</v>
      </c>
      <c r="Q15" s="164">
        <f>Q14+N15+2</f>
        <v>3942014.45</v>
      </c>
      <c r="R15" s="29">
        <f t="shared" si="2"/>
        <v>2599.8738621333541</v>
      </c>
      <c r="S15" s="5">
        <f>SUM($Q$7:$Q15)/T15</f>
        <v>4009941.4499999997</v>
      </c>
      <c r="T15" s="17">
        <v>9</v>
      </c>
      <c r="U15" s="4"/>
      <c r="V15" s="4"/>
      <c r="W15" s="105">
        <v>-2426481</v>
      </c>
      <c r="X15" s="167"/>
      <c r="Y15" s="156">
        <f>Y14-K15-L15-1</f>
        <v>-2426481</v>
      </c>
      <c r="Z15" s="217"/>
      <c r="AA15" s="92"/>
      <c r="AB15" s="92"/>
    </row>
    <row r="16" spans="2:255" s="69" customFormat="1">
      <c r="B16" s="116">
        <v>44512</v>
      </c>
      <c r="C16" s="14"/>
      <c r="D16" s="129"/>
      <c r="E16" s="87">
        <v>0</v>
      </c>
      <c r="F16" s="23">
        <v>-731358</v>
      </c>
      <c r="G16" s="26">
        <f>D16+E16+F16-E15-F15</f>
        <v>-37978</v>
      </c>
      <c r="H16" s="132">
        <v>300</v>
      </c>
      <c r="I16" s="63">
        <v>-1600</v>
      </c>
      <c r="J16" s="63">
        <v>-200</v>
      </c>
      <c r="K16" s="170">
        <f t="shared" si="3"/>
        <v>-1500</v>
      </c>
      <c r="L16" s="172">
        <v>-14</v>
      </c>
      <c r="M16" s="153"/>
      <c r="N16" s="152">
        <f>L16+K16+G16+M16</f>
        <v>-39492</v>
      </c>
      <c r="O16" s="67">
        <f t="shared" si="1"/>
        <v>3457000.5049999999</v>
      </c>
      <c r="P16" s="70">
        <f t="shared" si="4"/>
        <v>34570005.049999997</v>
      </c>
      <c r="Q16" s="164">
        <f>Q15+N16</f>
        <v>3902522.45</v>
      </c>
      <c r="R16" s="71">
        <f t="shared" si="2"/>
        <v>2592.9092753961459</v>
      </c>
      <c r="S16" s="72">
        <f>SUM($Q$7:$Q16)/T16</f>
        <v>3999199.55</v>
      </c>
      <c r="T16" s="73">
        <v>10</v>
      </c>
      <c r="U16" s="218"/>
      <c r="V16" s="133"/>
      <c r="W16" s="105">
        <v>-2424968</v>
      </c>
      <c r="X16" s="167"/>
      <c r="Y16" s="156">
        <f>Y15-K16-L16-1</f>
        <v>-2424968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44513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3483481.0454545454</v>
      </c>
      <c r="P17" s="7">
        <f t="shared" si="4"/>
        <v>38318291.5</v>
      </c>
      <c r="Q17" s="164">
        <f t="shared" si="5"/>
        <v>3902522.45</v>
      </c>
      <c r="R17" s="29">
        <f t="shared" si="2"/>
        <v>2587.2109771566124</v>
      </c>
      <c r="S17" s="5">
        <f>SUM($Q$7:$Q17)/T17</f>
        <v>3990410.7227272731</v>
      </c>
      <c r="T17" s="18">
        <v>11</v>
      </c>
      <c r="U17" s="27"/>
      <c r="V17" s="136"/>
      <c r="W17" s="105">
        <v>-2424968</v>
      </c>
      <c r="X17" s="167"/>
      <c r="Y17" s="156">
        <f t="shared" si="6"/>
        <v>-2424968</v>
      </c>
      <c r="Z17" s="217"/>
      <c r="AA17" s="92"/>
      <c r="AC17" s="92"/>
    </row>
    <row r="18" spans="2:31">
      <c r="B18" s="116">
        <v>44514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3505548.1625000001</v>
      </c>
      <c r="P18" s="7">
        <f t="shared" si="4"/>
        <v>42066577.950000003</v>
      </c>
      <c r="Q18" s="164">
        <f t="shared" si="5"/>
        <v>3902522.45</v>
      </c>
      <c r="R18" s="29">
        <f t="shared" si="2"/>
        <v>2582.4617469332716</v>
      </c>
      <c r="S18" s="5">
        <f>SUM($Q$7:$Q18)/T18-1</f>
        <v>3983085.7000000007</v>
      </c>
      <c r="T18" s="18">
        <v>12</v>
      </c>
      <c r="U18" s="27"/>
      <c r="V18" s="136"/>
      <c r="W18" s="105">
        <v>-2424968</v>
      </c>
      <c r="X18" s="167"/>
      <c r="Y18" s="156">
        <f t="shared" si="6"/>
        <v>-2424968</v>
      </c>
      <c r="Z18" s="217"/>
      <c r="AA18" s="92"/>
    </row>
    <row r="19" spans="2:31">
      <c r="B19" s="116">
        <v>44515</v>
      </c>
      <c r="C19" s="14" t="str">
        <f t="shared" si="0"/>
        <v/>
      </c>
      <c r="D19" s="87"/>
      <c r="E19" s="87">
        <v>10</v>
      </c>
      <c r="F19" s="23">
        <v>-779917</v>
      </c>
      <c r="G19" s="26">
        <f>D19+E19+F19-E16-F16</f>
        <v>-48549</v>
      </c>
      <c r="H19" s="132">
        <v>300</v>
      </c>
      <c r="I19" s="63">
        <v>-31400</v>
      </c>
      <c r="J19" s="63">
        <v>-100</v>
      </c>
      <c r="K19" s="170">
        <f t="shared" si="3"/>
        <v>-31200</v>
      </c>
      <c r="L19" s="171">
        <v>42</v>
      </c>
      <c r="M19" s="153"/>
      <c r="N19" s="149">
        <f t="shared" si="7"/>
        <v>-79707</v>
      </c>
      <c r="O19" s="67">
        <f t="shared" si="1"/>
        <v>3518089.0307692313</v>
      </c>
      <c r="P19" s="7">
        <f t="shared" si="4"/>
        <v>45735157.400000006</v>
      </c>
      <c r="Q19" s="164">
        <f>Q18+N19</f>
        <v>3822815.45</v>
      </c>
      <c r="R19" s="29">
        <f t="shared" si="2"/>
        <v>2574.4690878314359</v>
      </c>
      <c r="S19" s="5">
        <f>SUM($Q$7:$Q19)/T19</f>
        <v>3970758.1423076931</v>
      </c>
      <c r="T19" s="18">
        <v>13</v>
      </c>
      <c r="U19" s="138">
        <f>B19</f>
        <v>44515</v>
      </c>
      <c r="V19" s="131">
        <v>2225.6999999999998</v>
      </c>
      <c r="W19" s="105">
        <v>-2393810</v>
      </c>
      <c r="X19" s="167">
        <f>AVERAGE(W20:W27)</f>
        <v>-2357611.25</v>
      </c>
      <c r="Y19" s="156">
        <f>Y18-K19-L19</f>
        <v>-2393810</v>
      </c>
      <c r="Z19" s="217">
        <f>AVERAGE(Y20:Y27)</f>
        <v>-2357611.25</v>
      </c>
      <c r="AA19" s="92"/>
    </row>
    <row r="20" spans="2:31">
      <c r="B20" s="116">
        <v>44516</v>
      </c>
      <c r="C20" s="14"/>
      <c r="D20" s="87"/>
      <c r="E20" s="87">
        <v>0</v>
      </c>
      <c r="F20" s="23">
        <v>-786177</v>
      </c>
      <c r="G20" s="26">
        <f>D20+E20+F20-E19-F19</f>
        <v>-6270</v>
      </c>
      <c r="H20" s="132">
        <v>2800</v>
      </c>
      <c r="I20" s="63">
        <v>-10400</v>
      </c>
      <c r="J20" s="63">
        <v>-100</v>
      </c>
      <c r="K20" s="170">
        <f t="shared" si="3"/>
        <v>-7700</v>
      </c>
      <c r="L20" s="171">
        <v>-22</v>
      </c>
      <c r="M20" s="153"/>
      <c r="N20" s="149">
        <f t="shared" si="7"/>
        <v>-13992</v>
      </c>
      <c r="O20" s="67">
        <f t="shared" si="1"/>
        <v>3527838.9892857149</v>
      </c>
      <c r="P20" s="7">
        <f t="shared" si="4"/>
        <v>49389745.850000009</v>
      </c>
      <c r="Q20" s="164">
        <f>Q19+N20+1</f>
        <v>3808824.45</v>
      </c>
      <c r="R20" s="29">
        <f t="shared" si="2"/>
        <v>2566.9690928187974</v>
      </c>
      <c r="S20" s="5">
        <f>SUM($Q$7:$Q20)/T20-1</f>
        <v>3959190.4500000007</v>
      </c>
      <c r="T20" s="18">
        <v>14</v>
      </c>
      <c r="U20" s="138">
        <f>B19+8</f>
        <v>44523</v>
      </c>
      <c r="V20" s="131"/>
      <c r="W20" s="105">
        <v>-2386088</v>
      </c>
      <c r="X20" s="167"/>
      <c r="Y20" s="156">
        <f>Y19-K20-L20</f>
        <v>-2386088</v>
      </c>
      <c r="Z20" s="217"/>
      <c r="AA20" s="92"/>
      <c r="AB20" s="92"/>
    </row>
    <row r="21" spans="2:31">
      <c r="B21" s="116">
        <v>44517</v>
      </c>
      <c r="C21" s="14" t="str">
        <f t="shared" si="0"/>
        <v/>
      </c>
      <c r="D21" s="87">
        <f>-254+172</f>
        <v>-82</v>
      </c>
      <c r="E21" s="87">
        <v>3</v>
      </c>
      <c r="F21" s="23">
        <v>-783467</v>
      </c>
      <c r="G21" s="26">
        <f>D21+E21+F21-E20-F20</f>
        <v>2631</v>
      </c>
      <c r="H21" s="132">
        <v>100</v>
      </c>
      <c r="I21" s="63">
        <v>-5900</v>
      </c>
      <c r="J21" s="63">
        <v>-200</v>
      </c>
      <c r="K21" s="170">
        <f t="shared" si="3"/>
        <v>-6000</v>
      </c>
      <c r="L21" s="171">
        <v>28</v>
      </c>
      <c r="M21" s="153"/>
      <c r="N21" s="149">
        <f>L21+K21+G21+M21</f>
        <v>-3341</v>
      </c>
      <c r="O21" s="67">
        <f t="shared" si="1"/>
        <v>3536066.0866666674</v>
      </c>
      <c r="P21" s="7">
        <f t="shared" si="4"/>
        <v>53040991.300000012</v>
      </c>
      <c r="Q21" s="164">
        <f>Q20+N21-2</f>
        <v>3805481.45</v>
      </c>
      <c r="R21" s="29">
        <f t="shared" si="2"/>
        <v>2560.3251618731474</v>
      </c>
      <c r="S21" s="5">
        <f>SUM($Q$7:$Q21)/T21-1</f>
        <v>3948943.1166666676</v>
      </c>
      <c r="T21" s="18">
        <v>15</v>
      </c>
      <c r="U21" s="4"/>
      <c r="V21" s="131"/>
      <c r="W21" s="105">
        <v>-2380115</v>
      </c>
      <c r="X21" s="167"/>
      <c r="Y21" s="156">
        <f>Y20-K21-L21+1</f>
        <v>-2380115</v>
      </c>
      <c r="Z21" s="217"/>
      <c r="AA21" s="92"/>
    </row>
    <row r="22" spans="2:31">
      <c r="B22" s="116">
        <v>44518</v>
      </c>
      <c r="C22" s="14" t="str">
        <f t="shared" si="0"/>
        <v/>
      </c>
      <c r="D22" s="87"/>
      <c r="E22" s="87">
        <v>0</v>
      </c>
      <c r="F22" s="23">
        <v>-777529</v>
      </c>
      <c r="G22" s="26">
        <f>D22+E22+F22-E21-F21</f>
        <v>5935</v>
      </c>
      <c r="H22" s="132">
        <v>-18100</v>
      </c>
      <c r="I22" s="63">
        <v>-8200</v>
      </c>
      <c r="J22" s="63">
        <v>-200</v>
      </c>
      <c r="K22" s="170">
        <f t="shared" si="3"/>
        <v>-26500</v>
      </c>
      <c r="L22" s="171">
        <v>29</v>
      </c>
      <c r="M22" s="153"/>
      <c r="N22" s="149">
        <f>L22+K22+G22+M22</f>
        <v>-20536</v>
      </c>
      <c r="O22" s="67">
        <f t="shared" si="1"/>
        <v>3541981.3593750009</v>
      </c>
      <c r="P22" s="7">
        <f t="shared" si="4"/>
        <v>56671701.750000015</v>
      </c>
      <c r="Q22" s="164">
        <f>Q21+N22+1</f>
        <v>3784946.45</v>
      </c>
      <c r="R22" s="29">
        <f t="shared" si="2"/>
        <v>2553.6795965274005</v>
      </c>
      <c r="S22" s="5">
        <f>SUM($Q$7:$Q22)/T22-1</f>
        <v>3938693.2625000011</v>
      </c>
      <c r="T22" s="18">
        <v>16</v>
      </c>
      <c r="U22" s="4"/>
      <c r="V22" s="131"/>
      <c r="W22" s="105">
        <v>-2353644</v>
      </c>
      <c r="X22" s="167"/>
      <c r="Y22" s="156">
        <f>Y21-K22-L22</f>
        <v>-2353644</v>
      </c>
      <c r="Z22" s="217"/>
      <c r="AA22" s="92"/>
    </row>
    <row r="23" spans="2:31">
      <c r="B23" s="116">
        <v>44519</v>
      </c>
      <c r="C23" s="14"/>
      <c r="D23" s="87"/>
      <c r="E23" s="87">
        <v>3</v>
      </c>
      <c r="F23" s="23">
        <v>-767795</v>
      </c>
      <c r="G23" s="26">
        <f>D23+E23+F23-E22-F22</f>
        <v>9737</v>
      </c>
      <c r="H23" s="132">
        <v>-14100</v>
      </c>
      <c r="I23" s="63">
        <v>6700</v>
      </c>
      <c r="J23" s="63">
        <v>-200</v>
      </c>
      <c r="K23" s="170">
        <f t="shared" si="3"/>
        <v>-7600</v>
      </c>
      <c r="L23" s="171">
        <v>14</v>
      </c>
      <c r="M23" s="153"/>
      <c r="N23" s="149">
        <f>L23+K23+G23+M23</f>
        <v>2151</v>
      </c>
      <c r="O23" s="67">
        <f t="shared" si="1"/>
        <v>3547327.3058823538</v>
      </c>
      <c r="P23" s="7">
        <f t="shared" si="4"/>
        <v>60304564.200000018</v>
      </c>
      <c r="Q23" s="164">
        <f>Q22+N23+1</f>
        <v>3787098.45</v>
      </c>
      <c r="R23" s="29">
        <f t="shared" si="2"/>
        <v>2547.8985851323346</v>
      </c>
      <c r="S23" s="5">
        <f>SUM($Q$7:$Q23)/T23</f>
        <v>3929776.8617647071</v>
      </c>
      <c r="T23" s="18">
        <v>17</v>
      </c>
      <c r="U23" s="27"/>
      <c r="V23" s="135"/>
      <c r="W23" s="105">
        <v>-2346058</v>
      </c>
      <c r="X23" s="167"/>
      <c r="Y23" s="156">
        <f>Y22-K23-L23</f>
        <v>-2346058</v>
      </c>
      <c r="Z23" s="217"/>
      <c r="AA23" s="92"/>
    </row>
    <row r="24" spans="2:31">
      <c r="B24" s="116">
        <v>44520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3552079.2583333347</v>
      </c>
      <c r="P24" s="7">
        <f t="shared" si="4"/>
        <v>63937426.650000021</v>
      </c>
      <c r="Q24" s="164">
        <f>Q23+N24</f>
        <v>3787098.45</v>
      </c>
      <c r="R24" s="29">
        <f t="shared" si="2"/>
        <v>2542.7593320193305</v>
      </c>
      <c r="S24" s="5">
        <f>SUM($Q$7:$Q24)/T24</f>
        <v>3921850.2833333346</v>
      </c>
      <c r="T24" s="18">
        <v>18</v>
      </c>
      <c r="U24" s="4"/>
      <c r="V24" s="135"/>
      <c r="W24" s="105">
        <v>-2346058</v>
      </c>
      <c r="X24" s="167"/>
      <c r="Y24" s="156">
        <f t="shared" si="6"/>
        <v>-2346058</v>
      </c>
      <c r="Z24" s="217"/>
      <c r="AA24" s="92"/>
      <c r="AD24" s="1"/>
      <c r="AE24" s="1"/>
    </row>
    <row r="25" spans="2:31">
      <c r="B25" s="116">
        <v>44521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3556331.0052631591</v>
      </c>
      <c r="P25" s="7">
        <f t="shared" si="4"/>
        <v>67570289.100000024</v>
      </c>
      <c r="Q25" s="164">
        <f>Q24+N25</f>
        <v>3787098.45</v>
      </c>
      <c r="R25" s="29">
        <f t="shared" si="2"/>
        <v>2538.1604045611589</v>
      </c>
      <c r="S25" s="5">
        <f>SUM($Q$7:$Q25)/T25-1</f>
        <v>3914757.081578949</v>
      </c>
      <c r="T25" s="18">
        <v>19</v>
      </c>
      <c r="U25" s="4"/>
      <c r="V25" s="131"/>
      <c r="W25" s="105">
        <v>-2346058</v>
      </c>
      <c r="X25" s="167"/>
      <c r="Y25" s="156">
        <f t="shared" si="6"/>
        <v>-2346058</v>
      </c>
      <c r="Z25" s="217"/>
      <c r="AA25" s="92"/>
      <c r="AD25" s="1"/>
      <c r="AE25" s="1"/>
    </row>
    <row r="26" spans="2:31">
      <c r="B26" s="116">
        <v>44522</v>
      </c>
      <c r="C26" s="14"/>
      <c r="D26" s="87"/>
      <c r="E26" s="87">
        <v>3</v>
      </c>
      <c r="F26" s="23">
        <v>-765091</v>
      </c>
      <c r="G26" s="26">
        <f>D26+E26+F26-E23-F23</f>
        <v>2704</v>
      </c>
      <c r="H26" s="132">
        <v>-200</v>
      </c>
      <c r="I26" s="63">
        <v>3300</v>
      </c>
      <c r="J26" s="63">
        <v>-400</v>
      </c>
      <c r="K26" s="170">
        <f t="shared" si="3"/>
        <v>2700</v>
      </c>
      <c r="L26" s="171">
        <v>-4</v>
      </c>
      <c r="M26" s="153"/>
      <c r="N26" s="149">
        <f t="shared" si="7"/>
        <v>5400</v>
      </c>
      <c r="O26" s="67">
        <f t="shared" si="1"/>
        <v>3560427.5275000012</v>
      </c>
      <c r="P26" s="7">
        <f t="shared" si="4"/>
        <v>71208550.550000027</v>
      </c>
      <c r="Q26" s="164">
        <f>Q25+N26-1</f>
        <v>3792497.45</v>
      </c>
      <c r="R26" s="29">
        <f t="shared" si="2"/>
        <v>2534.1969773593723</v>
      </c>
      <c r="S26" s="5">
        <f>SUM($Q$7:$Q26)/T26-1</f>
        <v>3908644.0500000017</v>
      </c>
      <c r="T26" s="18">
        <v>20</v>
      </c>
      <c r="U26" s="138">
        <f>B26</f>
        <v>44522</v>
      </c>
      <c r="V26" s="131">
        <v>2266.1</v>
      </c>
      <c r="W26" s="105">
        <v>-2348754</v>
      </c>
      <c r="X26" s="167">
        <f>AVERAGE(W26:W34)</f>
        <v>-2349782.3333333335</v>
      </c>
      <c r="Y26" s="156">
        <f>Y25-K26-L26</f>
        <v>-2348754</v>
      </c>
      <c r="Z26" s="217">
        <f>AVERAGE(Y26:Y34)</f>
        <v>-2349782.3333333335</v>
      </c>
      <c r="AC26" s="92"/>
      <c r="AD26" s="1"/>
      <c r="AE26" s="1"/>
    </row>
    <row r="27" spans="2:31">
      <c r="B27" s="116">
        <v>44523</v>
      </c>
      <c r="C27" s="14" t="str">
        <f t="shared" si="0"/>
        <v/>
      </c>
      <c r="D27" s="87"/>
      <c r="E27" s="87">
        <v>0</v>
      </c>
      <c r="F27" s="23">
        <v>-767189</v>
      </c>
      <c r="G27" s="26">
        <f>D27+E27+F27-E26-F26</f>
        <v>-2101</v>
      </c>
      <c r="H27" s="132">
        <v>-1600</v>
      </c>
      <c r="I27" s="63">
        <v>7400</v>
      </c>
      <c r="J27" s="63">
        <v>-400</v>
      </c>
      <c r="K27" s="170">
        <f t="shared" si="3"/>
        <v>5400</v>
      </c>
      <c r="L27" s="171">
        <v>-40</v>
      </c>
      <c r="M27" s="153"/>
      <c r="N27" s="149">
        <f>L27+K27+G27+M27</f>
        <v>3259</v>
      </c>
      <c r="O27" s="67">
        <f t="shared" si="1"/>
        <v>3564289.1428571441</v>
      </c>
      <c r="P27" s="7">
        <f t="shared" si="4"/>
        <v>74850072.00000003</v>
      </c>
      <c r="Q27" s="164">
        <f>Q26+N27+1</f>
        <v>3795757.45</v>
      </c>
      <c r="R27" s="29">
        <f t="shared" si="2"/>
        <v>2530.7116691304245</v>
      </c>
      <c r="S27" s="5">
        <f>SUM($Q$7:$Q27)/T27-1</f>
        <v>3903268.4500000016</v>
      </c>
      <c r="T27" s="18">
        <v>21</v>
      </c>
      <c r="U27" s="138">
        <f>B28+6</f>
        <v>44530</v>
      </c>
      <c r="V27" s="159"/>
      <c r="W27" s="105">
        <v>-2354115</v>
      </c>
      <c r="X27" s="167"/>
      <c r="Y27" s="156">
        <f>Y26-K27-L27-1</f>
        <v>-2354115</v>
      </c>
      <c r="Z27" s="217"/>
      <c r="AA27" s="92"/>
      <c r="AD27" s="1"/>
      <c r="AE27" s="1"/>
    </row>
    <row r="28" spans="2:31">
      <c r="B28" s="116">
        <v>44524</v>
      </c>
      <c r="C28" s="14" t="str">
        <f t="shared" si="0"/>
        <v/>
      </c>
      <c r="D28" s="87">
        <f>-172+157</f>
        <v>-15</v>
      </c>
      <c r="E28" s="87">
        <v>1</v>
      </c>
      <c r="F28" s="23">
        <v>-762954</v>
      </c>
      <c r="G28" s="26">
        <f>D28+E28+F28-E27-F27</f>
        <v>4221</v>
      </c>
      <c r="H28" s="132">
        <v>300</v>
      </c>
      <c r="I28" s="63">
        <v>-4700</v>
      </c>
      <c r="J28" s="63">
        <v>-400</v>
      </c>
      <c r="K28" s="170">
        <f t="shared" si="3"/>
        <v>-4800</v>
      </c>
      <c r="L28" s="171">
        <v>30</v>
      </c>
      <c r="M28" s="153"/>
      <c r="N28" s="149">
        <f>L28+K28+G28+M28</f>
        <v>-549</v>
      </c>
      <c r="O28" s="67">
        <f t="shared" si="1"/>
        <v>3567774.7022727286</v>
      </c>
      <c r="P28" s="7">
        <f t="shared" si="4"/>
        <v>78491043.450000033</v>
      </c>
      <c r="Q28" s="164">
        <f>Q27+N28-1</f>
        <v>3795207.45</v>
      </c>
      <c r="R28" s="29">
        <f t="shared" si="2"/>
        <v>2527.5269981775282</v>
      </c>
      <c r="S28" s="5">
        <f>SUM($Q$7:$Q28)/T28-1</f>
        <v>3898356.5409090924</v>
      </c>
      <c r="T28" s="18">
        <v>22</v>
      </c>
      <c r="U28" s="4"/>
      <c r="V28" s="131"/>
      <c r="W28" s="105">
        <v>-2349345</v>
      </c>
      <c r="X28" s="167"/>
      <c r="Y28" s="156">
        <f>Y27-K28-L28</f>
        <v>-2349345</v>
      </c>
      <c r="Z28" s="217"/>
      <c r="AA28" s="92"/>
      <c r="AD28" s="1"/>
      <c r="AE28" s="1"/>
    </row>
    <row r="29" spans="2:31">
      <c r="B29" s="116">
        <v>44525</v>
      </c>
      <c r="C29" s="14" t="str">
        <f t="shared" si="0"/>
        <v/>
      </c>
      <c r="D29" s="87">
        <f>-48+10</f>
        <v>-38</v>
      </c>
      <c r="E29" s="87">
        <v>1</v>
      </c>
      <c r="F29" s="23">
        <v>-767605</v>
      </c>
      <c r="G29" s="26">
        <f>D29+E29+F29-E28-F28</f>
        <v>-4689</v>
      </c>
      <c r="H29" s="132">
        <v>300</v>
      </c>
      <c r="I29" s="63">
        <v>-14400</v>
      </c>
      <c r="J29" s="63">
        <v>-400</v>
      </c>
      <c r="K29" s="170">
        <f t="shared" si="3"/>
        <v>-14500</v>
      </c>
      <c r="L29" s="171">
        <v>-45</v>
      </c>
      <c r="M29" s="153"/>
      <c r="N29" s="149">
        <f>L29+K29+G29+M29</f>
        <v>-19234</v>
      </c>
      <c r="O29" s="67">
        <f t="shared" si="1"/>
        <v>3570121.0391304363</v>
      </c>
      <c r="P29" s="7">
        <f t="shared" si="4"/>
        <v>82112783.900000036</v>
      </c>
      <c r="Q29" s="164">
        <f>Q28+N29+3</f>
        <v>3775976.45</v>
      </c>
      <c r="R29" s="29">
        <f t="shared" si="2"/>
        <v>2524.0771440604303</v>
      </c>
      <c r="S29" s="5">
        <f>SUM($Q$7:$Q29)/T29-1</f>
        <v>3893035.623913045</v>
      </c>
      <c r="T29" s="18">
        <v>23</v>
      </c>
      <c r="U29" s="4"/>
      <c r="V29" s="131"/>
      <c r="W29" s="105">
        <v>-2334802</v>
      </c>
      <c r="X29" s="167"/>
      <c r="Y29" s="156">
        <f>Y28-K29-L29-2</f>
        <v>-2334802</v>
      </c>
      <c r="Z29" s="217"/>
      <c r="AA29" s="92"/>
      <c r="AD29" s="1"/>
      <c r="AE29" s="1"/>
    </row>
    <row r="30" spans="2:31">
      <c r="B30" s="116">
        <v>44526</v>
      </c>
      <c r="C30" s="14" t="str">
        <f t="shared" si="0"/>
        <v/>
      </c>
      <c r="D30" s="87"/>
      <c r="E30" s="87">
        <v>0</v>
      </c>
      <c r="F30" s="23">
        <v>-771470</v>
      </c>
      <c r="G30" s="26">
        <f>D30+E30+F30-E29-F29</f>
        <v>-3866</v>
      </c>
      <c r="H30" s="132">
        <v>300</v>
      </c>
      <c r="I30" s="25">
        <v>-6000</v>
      </c>
      <c r="J30" s="25">
        <v>-400</v>
      </c>
      <c r="K30" s="170">
        <f t="shared" si="3"/>
        <v>-6100</v>
      </c>
      <c r="L30" s="171">
        <v>38</v>
      </c>
      <c r="M30" s="153"/>
      <c r="N30" s="149">
        <f>L30+K30+G30+M30</f>
        <v>-9928</v>
      </c>
      <c r="O30" s="67">
        <f t="shared" si="1"/>
        <v>3571858.1395833348</v>
      </c>
      <c r="P30" s="7">
        <f t="shared" si="4"/>
        <v>85724595.350000039</v>
      </c>
      <c r="Q30" s="164">
        <f>Q29+N30-1</f>
        <v>3766047.45</v>
      </c>
      <c r="R30" s="29">
        <f t="shared" si="2"/>
        <v>2520.6510855658439</v>
      </c>
      <c r="S30" s="5">
        <f>SUM($Q$7:$Q30)/T30+6</f>
        <v>3887751.4083333351</v>
      </c>
      <c r="T30" s="18">
        <v>24</v>
      </c>
      <c r="U30" s="4"/>
      <c r="V30" s="131"/>
      <c r="W30" s="105">
        <v>-2328740</v>
      </c>
      <c r="X30" s="167"/>
      <c r="Y30" s="156">
        <f>Y29-K30-L30</f>
        <v>-2328740</v>
      </c>
      <c r="Z30" s="217"/>
      <c r="AA30" s="92"/>
      <c r="AD30" s="1"/>
      <c r="AE30" s="1"/>
    </row>
    <row r="31" spans="2:31">
      <c r="B31" s="116">
        <v>44527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3573456.2720000017</v>
      </c>
      <c r="P31" s="7">
        <f t="shared" si="4"/>
        <v>89336406.800000042</v>
      </c>
      <c r="Q31" s="164">
        <f t="shared" ref="Q31:Q46" si="9">Q30+N31</f>
        <v>3766047.45</v>
      </c>
      <c r="R31" s="29">
        <f t="shared" si="2"/>
        <v>2517.4923429030846</v>
      </c>
      <c r="S31" s="5">
        <f>SUM($Q$7:$Q31)/T31+2</f>
        <v>3882879.4900000016</v>
      </c>
      <c r="T31" s="18">
        <v>25</v>
      </c>
      <c r="U31" s="4"/>
      <c r="V31" s="137"/>
      <c r="W31" s="105">
        <v>-2328740</v>
      </c>
      <c r="X31" s="167"/>
      <c r="Y31" s="156">
        <f t="shared" si="6"/>
        <v>-2328740</v>
      </c>
      <c r="Z31" s="217"/>
      <c r="AA31" s="92"/>
      <c r="AB31" s="92"/>
      <c r="AD31" s="1"/>
      <c r="AE31" s="1"/>
    </row>
    <row r="32" spans="2:31">
      <c r="B32" s="116">
        <v>44528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3574931.4711538479</v>
      </c>
      <c r="P32" s="7">
        <f t="shared" si="4"/>
        <v>92948218.250000045</v>
      </c>
      <c r="Q32" s="164">
        <f t="shared" si="9"/>
        <v>3766047.45</v>
      </c>
      <c r="R32" s="29">
        <f t="shared" si="2"/>
        <v>2514.573787522419</v>
      </c>
      <c r="S32" s="5">
        <f>SUM($Q$7:$Q32)/T32-6</f>
        <v>3878378.0269230786</v>
      </c>
      <c r="T32" s="18">
        <v>26</v>
      </c>
      <c r="U32" s="27"/>
      <c r="V32" s="137"/>
      <c r="W32" s="105">
        <v>-2328740</v>
      </c>
      <c r="X32" s="167"/>
      <c r="Y32" s="156">
        <f t="shared" si="6"/>
        <v>-2328740</v>
      </c>
      <c r="Z32" s="217"/>
      <c r="AD32" s="1"/>
      <c r="AE32" s="1"/>
    </row>
    <row r="33" spans="2:31">
      <c r="B33" s="116">
        <v>44529</v>
      </c>
      <c r="C33" s="14" t="str">
        <f t="shared" si="0"/>
        <v/>
      </c>
      <c r="D33" s="87"/>
      <c r="E33" s="87">
        <v>0</v>
      </c>
      <c r="F33" s="23">
        <v>-786639</v>
      </c>
      <c r="G33" s="26">
        <f>D33+E33+F33-E30-F30</f>
        <v>-15169</v>
      </c>
      <c r="H33" s="132">
        <v>300</v>
      </c>
      <c r="I33" s="25">
        <v>46600</v>
      </c>
      <c r="J33" s="25">
        <v>-1000</v>
      </c>
      <c r="K33" s="170">
        <f t="shared" si="3"/>
        <v>45900</v>
      </c>
      <c r="L33" s="171">
        <v>35</v>
      </c>
      <c r="M33" s="153"/>
      <c r="N33" s="149">
        <f t="shared" si="7"/>
        <v>30766</v>
      </c>
      <c r="O33" s="67">
        <f t="shared" si="1"/>
        <v>3577436.9148148168</v>
      </c>
      <c r="P33" s="7">
        <f t="shared" si="4"/>
        <v>96590796.700000048</v>
      </c>
      <c r="Q33" s="164">
        <f>Q32+N33+1</f>
        <v>3796814.45</v>
      </c>
      <c r="R33" s="29">
        <f t="shared" si="2"/>
        <v>2512.6182807395699</v>
      </c>
      <c r="S33" s="5">
        <f>SUM($Q$7:$Q33)/T33-1</f>
        <v>3875361.9314814834</v>
      </c>
      <c r="T33" s="18">
        <v>27</v>
      </c>
      <c r="U33" s="138">
        <f>B33</f>
        <v>44529</v>
      </c>
      <c r="V33" s="131">
        <f>2220.5</f>
        <v>2220.5</v>
      </c>
      <c r="W33" s="105">
        <v>-2374675</v>
      </c>
      <c r="X33" s="167">
        <f>AVERAGE(W33:W41)</f>
        <v>-2407712</v>
      </c>
      <c r="Y33" s="156">
        <f>Y32-K33-L33</f>
        <v>-2374675</v>
      </c>
      <c r="Z33" s="217">
        <f>AVERAGE(Y33:Y41)</f>
        <v>-2407712</v>
      </c>
      <c r="AD33" s="1"/>
      <c r="AE33" s="1"/>
    </row>
    <row r="34" spans="2:31">
      <c r="B34" s="116">
        <v>44530</v>
      </c>
      <c r="C34" s="14" t="str">
        <f t="shared" si="0"/>
        <v/>
      </c>
      <c r="D34" s="87"/>
      <c r="E34" s="87">
        <v>1</v>
      </c>
      <c r="F34" s="23">
        <v>-821841</v>
      </c>
      <c r="G34" s="26">
        <f>D34+E34+F34-E33-F33</f>
        <v>-35201</v>
      </c>
      <c r="H34" s="132">
        <v>300</v>
      </c>
      <c r="I34" s="25">
        <v>26200</v>
      </c>
      <c r="J34" s="25">
        <v>-1000</v>
      </c>
      <c r="K34" s="170">
        <f t="shared" si="3"/>
        <v>25500</v>
      </c>
      <c r="L34" s="171">
        <v>-45</v>
      </c>
      <c r="M34" s="153"/>
      <c r="N34" s="149">
        <f>L34+K34+G34+M34</f>
        <v>-9746</v>
      </c>
      <c r="O34" s="67">
        <f t="shared" si="1"/>
        <v>3579415.2910714303</v>
      </c>
      <c r="P34" s="7">
        <f t="shared" si="4"/>
        <v>100223628.15000005</v>
      </c>
      <c r="Q34" s="164">
        <f>Q33+N34-1</f>
        <v>3787067.45</v>
      </c>
      <c r="R34" s="29">
        <f t="shared" si="2"/>
        <v>2510.5743934156576</v>
      </c>
      <c r="S34" s="5">
        <f>SUM($Q$7:$Q34)/T34</f>
        <v>3872209.5214285734</v>
      </c>
      <c r="T34" s="18">
        <v>28</v>
      </c>
      <c r="U34" s="138">
        <f>B33+8</f>
        <v>44537</v>
      </c>
      <c r="V34" s="131"/>
      <c r="W34" s="105">
        <v>-2400130</v>
      </c>
      <c r="X34" s="167"/>
      <c r="Y34" s="156">
        <f>Y33-K34-L34</f>
        <v>-2400130</v>
      </c>
      <c r="Z34" s="217"/>
      <c r="AA34" s="92"/>
      <c r="AD34" s="1"/>
      <c r="AE34" s="1"/>
    </row>
    <row r="35" spans="2:31">
      <c r="B35" s="116">
        <v>44531</v>
      </c>
      <c r="C35" s="14" t="str">
        <f t="shared" si="0"/>
        <v/>
      </c>
      <c r="D35" s="87">
        <f>-157+200</f>
        <v>43</v>
      </c>
      <c r="E35" s="87">
        <v>0</v>
      </c>
      <c r="F35" s="23">
        <v>-812644</v>
      </c>
      <c r="G35" s="26">
        <f>D35+E35+F35-E34-F34</f>
        <v>9239</v>
      </c>
      <c r="H35" s="132">
        <v>18700</v>
      </c>
      <c r="I35" s="25">
        <v>22900</v>
      </c>
      <c r="J35" s="25">
        <v>-1000</v>
      </c>
      <c r="K35" s="170">
        <f t="shared" si="3"/>
        <v>40600</v>
      </c>
      <c r="L35" s="171">
        <v>-39</v>
      </c>
      <c r="M35" s="153"/>
      <c r="N35" s="149">
        <f t="shared" si="7"/>
        <v>49800</v>
      </c>
      <c r="O35" s="67">
        <f t="shared" si="1"/>
        <v>3582974.5034482777</v>
      </c>
      <c r="P35" s="7">
        <f t="shared" si="4"/>
        <v>103906260.60000005</v>
      </c>
      <c r="Q35" s="164">
        <f>Q34+N35+1</f>
        <v>3836868.45</v>
      </c>
      <c r="R35" s="29">
        <f t="shared" si="2"/>
        <v>2509.7842681300767</v>
      </c>
      <c r="S35" s="5">
        <f>SUM($Q$7:$Q35)/T35</f>
        <v>3870990.8637931054</v>
      </c>
      <c r="T35" s="18">
        <v>29</v>
      </c>
      <c r="U35" s="4"/>
      <c r="V35" s="131"/>
      <c r="W35" s="105">
        <v>-2440692</v>
      </c>
      <c r="X35" s="167"/>
      <c r="Y35" s="156">
        <f>Y34-K35-L35-1</f>
        <v>-2440692</v>
      </c>
      <c r="Z35" s="217"/>
      <c r="AA35" s="92"/>
      <c r="AD35" s="1"/>
      <c r="AE35" s="1"/>
    </row>
    <row r="36" spans="2:31">
      <c r="B36" s="116">
        <v>44532</v>
      </c>
      <c r="C36" s="14" t="str">
        <f t="shared" si="0"/>
        <v/>
      </c>
      <c r="D36" s="87"/>
      <c r="E36" s="87">
        <v>0</v>
      </c>
      <c r="F36" s="23">
        <v>-747338</v>
      </c>
      <c r="G36" s="26">
        <f>D36+E36+F36-E35-F35</f>
        <v>65306</v>
      </c>
      <c r="H36" s="132">
        <v>-14500</v>
      </c>
      <c r="I36" s="25">
        <v>3000</v>
      </c>
      <c r="J36" s="25">
        <v>-1000</v>
      </c>
      <c r="K36" s="170">
        <f t="shared" si="3"/>
        <v>-12500</v>
      </c>
      <c r="L36" s="171">
        <v>38</v>
      </c>
      <c r="M36" s="153"/>
      <c r="N36" s="149">
        <f t="shared" si="7"/>
        <v>52844</v>
      </c>
      <c r="O36" s="67">
        <f t="shared" si="1"/>
        <v>3588057.8350000018</v>
      </c>
      <c r="P36" s="7">
        <f t="shared" si="4"/>
        <v>107641735.05000006</v>
      </c>
      <c r="Q36" s="164">
        <f>Q35+N36-2</f>
        <v>3889710.45</v>
      </c>
      <c r="R36" s="29">
        <f t="shared" si="2"/>
        <v>2510.1732734251423</v>
      </c>
      <c r="S36" s="5">
        <f>SUM($Q$7:$Q36)/T36-24</f>
        <v>3871590.850000002</v>
      </c>
      <c r="T36" s="18">
        <v>30</v>
      </c>
      <c r="U36" s="4"/>
      <c r="V36" s="136"/>
      <c r="W36" s="105">
        <v>-2428227</v>
      </c>
      <c r="X36" s="167"/>
      <c r="Y36" s="156">
        <f>Y35-K36-L36+3</f>
        <v>-2428227</v>
      </c>
      <c r="Z36" s="217"/>
      <c r="AD36" s="1"/>
      <c r="AE36" s="1"/>
    </row>
    <row r="37" spans="2:31">
      <c r="B37" s="116">
        <v>44533</v>
      </c>
      <c r="C37" s="14" t="str">
        <f t="shared" si="0"/>
        <v/>
      </c>
      <c r="D37" s="87"/>
      <c r="E37" s="87">
        <v>0</v>
      </c>
      <c r="F37" s="23">
        <v>-793617</v>
      </c>
      <c r="G37" s="26">
        <f>D37+E37+F37-E36-F36</f>
        <v>-46279</v>
      </c>
      <c r="H37" s="132">
        <v>-10900</v>
      </c>
      <c r="I37" s="25">
        <v>-4200</v>
      </c>
      <c r="J37" s="25">
        <v>-1000</v>
      </c>
      <c r="K37" s="170">
        <f t="shared" si="3"/>
        <v>-16100</v>
      </c>
      <c r="L37" s="171">
        <v>31</v>
      </c>
      <c r="M37" s="153"/>
      <c r="N37" s="149">
        <f t="shared" si="7"/>
        <v>-62348</v>
      </c>
      <c r="O37" s="67">
        <f t="shared" si="1"/>
        <v>3590801.9193548406</v>
      </c>
      <c r="P37" s="7">
        <f t="shared" si="4"/>
        <v>111314859.50000006</v>
      </c>
      <c r="Q37" s="164">
        <f>Q36+N37-2</f>
        <v>3827360.45</v>
      </c>
      <c r="R37" s="29">
        <f t="shared" si="2"/>
        <v>2509.263912905988</v>
      </c>
      <c r="S37" s="5">
        <f>SUM($Q$7:$Q37)/T37+1</f>
        <v>3870188.2887096796</v>
      </c>
      <c r="T37" s="18">
        <v>31</v>
      </c>
      <c r="U37" s="27"/>
      <c r="V37" s="137"/>
      <c r="W37" s="105">
        <v>-2412156</v>
      </c>
      <c r="X37" s="167"/>
      <c r="Y37" s="156">
        <f>Y36-K37-L37+2</f>
        <v>-2412156</v>
      </c>
      <c r="Z37" s="217"/>
      <c r="AA37" s="92"/>
      <c r="AD37" s="1"/>
      <c r="AE37" s="1"/>
    </row>
    <row r="38" spans="2:31">
      <c r="B38" s="116">
        <v>44534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3593374.498437502</v>
      </c>
      <c r="P38" s="7">
        <f t="shared" si="4"/>
        <v>114987983.95000006</v>
      </c>
      <c r="Q38" s="164">
        <f t="shared" si="9"/>
        <v>3827360.45</v>
      </c>
      <c r="R38" s="29">
        <f t="shared" si="2"/>
        <v>2508.3955431935487</v>
      </c>
      <c r="S38" s="5">
        <f>SUM($Q$7:$Q38)/T38</f>
        <v>3868848.950000002</v>
      </c>
      <c r="T38" s="18">
        <v>32</v>
      </c>
      <c r="U38" s="27"/>
      <c r="V38" s="137"/>
      <c r="W38" s="105">
        <v>-2412156</v>
      </c>
      <c r="X38" s="167"/>
      <c r="Y38" s="156">
        <f t="shared" si="6"/>
        <v>-2412156</v>
      </c>
      <c r="Z38" s="217"/>
      <c r="AD38" s="1"/>
      <c r="AE38" s="1"/>
    </row>
    <row r="39" spans="2:31">
      <c r="B39" s="116">
        <v>44535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3595791.1636363654</v>
      </c>
      <c r="P39" s="7">
        <f t="shared" si="4"/>
        <v>118661108.40000007</v>
      </c>
      <c r="Q39" s="164">
        <f t="shared" si="9"/>
        <v>3827360.45</v>
      </c>
      <c r="R39" s="29">
        <f t="shared" si="2"/>
        <v>2507.5817077253528</v>
      </c>
      <c r="S39" s="5">
        <f>SUM($Q$7:$Q39)/T39+2</f>
        <v>3867593.722727275</v>
      </c>
      <c r="T39" s="18">
        <v>33</v>
      </c>
      <c r="U39" s="27"/>
      <c r="V39" s="137"/>
      <c r="W39" s="105">
        <v>-2412156</v>
      </c>
      <c r="X39" s="167"/>
      <c r="Y39" s="156">
        <f t="shared" si="6"/>
        <v>-2412156</v>
      </c>
      <c r="Z39" s="217"/>
      <c r="AD39" s="1"/>
      <c r="AE39" s="1"/>
    </row>
    <row r="40" spans="2:31">
      <c r="B40" s="116">
        <v>44536</v>
      </c>
      <c r="C40" s="14" t="str">
        <f t="shared" si="0"/>
        <v/>
      </c>
      <c r="D40" s="87"/>
      <c r="E40" s="87">
        <v>1</v>
      </c>
      <c r="F40" s="23">
        <v>-780738</v>
      </c>
      <c r="G40" s="26">
        <f>D40+E40+F40-E37-F37</f>
        <v>12880</v>
      </c>
      <c r="H40" s="132">
        <v>-200</v>
      </c>
      <c r="I40" s="25">
        <v>-11100</v>
      </c>
      <c r="J40" s="25">
        <v>-1000</v>
      </c>
      <c r="K40" s="170">
        <f t="shared" si="3"/>
        <v>-12300</v>
      </c>
      <c r="L40" s="171">
        <v>-20</v>
      </c>
      <c r="M40" s="153"/>
      <c r="N40" s="149">
        <f t="shared" si="7"/>
        <v>560</v>
      </c>
      <c r="O40" s="67">
        <f t="shared" si="1"/>
        <v>3598082.1132352962</v>
      </c>
      <c r="P40" s="7">
        <f t="shared" si="4"/>
        <v>122334791.85000007</v>
      </c>
      <c r="Q40" s="164">
        <f>Q39+N40-1</f>
        <v>3827919.45</v>
      </c>
      <c r="R40" s="29">
        <f t="shared" si="2"/>
        <v>2506.8245358907602</v>
      </c>
      <c r="S40" s="5">
        <f>SUM($Q$7:$Q40)/T40+1</f>
        <v>3866425.8911764729</v>
      </c>
      <c r="T40" s="18">
        <v>34</v>
      </c>
      <c r="U40" s="138">
        <f>B40</f>
        <v>44536</v>
      </c>
      <c r="V40" s="131">
        <v>1807.6</v>
      </c>
      <c r="W40" s="105">
        <v>-2399835</v>
      </c>
      <c r="X40" s="167">
        <f>AVERAGE(W40:W48)</f>
        <v>-2390687.222222222</v>
      </c>
      <c r="Y40" s="156">
        <f>Y39-K40-L40+1</f>
        <v>-2399835</v>
      </c>
      <c r="Z40" s="217">
        <f>AVERAGE(Y40:Y48)</f>
        <v>-2390687.222222222</v>
      </c>
      <c r="AD40" s="1"/>
      <c r="AE40" s="1"/>
    </row>
    <row r="41" spans="2:31">
      <c r="B41" s="116">
        <v>44537</v>
      </c>
      <c r="C41" s="14" t="str">
        <f t="shared" si="0"/>
        <v/>
      </c>
      <c r="D41" s="87"/>
      <c r="E41" s="87">
        <v>0</v>
      </c>
      <c r="F41" s="23">
        <v>-784944</v>
      </c>
      <c r="G41" s="26">
        <f>D41+E41+F41-E40-F40</f>
        <v>-4207</v>
      </c>
      <c r="H41" s="132">
        <v>-2900</v>
      </c>
      <c r="I41" s="25">
        <v>-6600</v>
      </c>
      <c r="J41" s="25">
        <v>-1000</v>
      </c>
      <c r="K41" s="170">
        <f t="shared" si="3"/>
        <v>-10500</v>
      </c>
      <c r="L41" s="171">
        <v>47</v>
      </c>
      <c r="M41" s="153"/>
      <c r="N41" s="149">
        <f t="shared" si="7"/>
        <v>-14660</v>
      </c>
      <c r="O41" s="67">
        <f t="shared" si="1"/>
        <v>3599823.237142859</v>
      </c>
      <c r="P41" s="7">
        <f t="shared" si="4"/>
        <v>125993813.30000007</v>
      </c>
      <c r="Q41" s="164">
        <f>Q40+N41-2</f>
        <v>3813257.45</v>
      </c>
      <c r="R41" s="29">
        <f t="shared" si="2"/>
        <v>2505.8396362902135</v>
      </c>
      <c r="S41" s="5">
        <f>SUM($Q$7:$Q41)/T41+1</f>
        <v>3864906.8214285732</v>
      </c>
      <c r="T41" s="18">
        <v>35</v>
      </c>
      <c r="U41" s="138">
        <f>B40+8</f>
        <v>44544</v>
      </c>
      <c r="V41" s="137"/>
      <c r="W41" s="105">
        <v>-2389381</v>
      </c>
      <c r="X41" s="167"/>
      <c r="Y41" s="156">
        <f>Y40-K41-L41+1</f>
        <v>-2389381</v>
      </c>
      <c r="Z41" s="217"/>
      <c r="AD41" s="1"/>
      <c r="AE41" s="1"/>
    </row>
    <row r="42" spans="2:31">
      <c r="B42" s="116">
        <v>44538</v>
      </c>
      <c r="C42" s="14" t="str">
        <f t="shared" si="0"/>
        <v/>
      </c>
      <c r="D42" s="87">
        <f>-200+195</f>
        <v>-5</v>
      </c>
      <c r="E42" s="87">
        <v>0</v>
      </c>
      <c r="F42" s="23">
        <v>-787107</v>
      </c>
      <c r="G42" s="26">
        <f t="shared" ref="G42:G44" si="10">D42+E42+F42-E41-F41</f>
        <v>-2168</v>
      </c>
      <c r="H42" s="132">
        <v>300</v>
      </c>
      <c r="I42" s="25">
        <v>500</v>
      </c>
      <c r="J42" s="25">
        <v>-1000</v>
      </c>
      <c r="K42" s="170">
        <f t="shared" si="3"/>
        <v>-200</v>
      </c>
      <c r="L42" s="171">
        <v>36</v>
      </c>
      <c r="M42" s="153"/>
      <c r="N42" s="149">
        <f t="shared" si="7"/>
        <v>-2332</v>
      </c>
      <c r="O42" s="67">
        <f t="shared" si="1"/>
        <v>3601402.8819444464</v>
      </c>
      <c r="P42" s="7">
        <f t="shared" si="4"/>
        <v>129650503.75000007</v>
      </c>
      <c r="Q42" s="164">
        <f>Q41+N42+1</f>
        <v>3810926.45</v>
      </c>
      <c r="R42" s="29">
        <f t="shared" si="2"/>
        <v>2504.8648787860457</v>
      </c>
      <c r="S42" s="5">
        <f>SUM($Q$7:$Q42)/T42-3</f>
        <v>3863403.3944444456</v>
      </c>
      <c r="T42" s="18">
        <v>36</v>
      </c>
      <c r="U42" s="27"/>
      <c r="V42" s="137"/>
      <c r="W42" s="105">
        <v>-2389217</v>
      </c>
      <c r="X42" s="167"/>
      <c r="Y42" s="156">
        <f>Y41-K42-L42</f>
        <v>-2389217</v>
      </c>
      <c r="Z42" s="217"/>
      <c r="AD42" s="1"/>
      <c r="AE42" s="1"/>
    </row>
    <row r="43" spans="2:31">
      <c r="B43" s="116">
        <v>44539</v>
      </c>
      <c r="C43" s="14" t="str">
        <f t="shared" si="0"/>
        <v/>
      </c>
      <c r="D43" s="87"/>
      <c r="E43" s="87">
        <v>0</v>
      </c>
      <c r="F43" s="23">
        <v>-790304</v>
      </c>
      <c r="G43" s="26">
        <f t="shared" si="10"/>
        <v>-3197</v>
      </c>
      <c r="H43" s="132">
        <v>-11700</v>
      </c>
      <c r="I43" s="25">
        <v>17300</v>
      </c>
      <c r="J43" s="25">
        <v>-1000</v>
      </c>
      <c r="K43" s="170">
        <f t="shared" si="3"/>
        <v>4600</v>
      </c>
      <c r="L43" s="171">
        <v>34</v>
      </c>
      <c r="M43" s="153"/>
      <c r="N43" s="149">
        <f t="shared" si="7"/>
        <v>1437</v>
      </c>
      <c r="O43" s="67">
        <f t="shared" si="1"/>
        <v>3602935.9513513534</v>
      </c>
      <c r="P43" s="7">
        <f t="shared" si="4"/>
        <v>133308630.20000008</v>
      </c>
      <c r="Q43" s="164">
        <f>Q42+N43-1</f>
        <v>3812362.45</v>
      </c>
      <c r="R43" s="29">
        <f t="shared" si="2"/>
        <v>2503.970427382958</v>
      </c>
      <c r="S43" s="5">
        <f>SUM($Q$7:$Q43)/T43-3</f>
        <v>3862023.8283783793</v>
      </c>
      <c r="T43" s="18">
        <v>37</v>
      </c>
      <c r="U43" s="27"/>
      <c r="V43" s="137"/>
      <c r="W43" s="105">
        <v>-2393851</v>
      </c>
      <c r="X43" s="167"/>
      <c r="Y43" s="156">
        <f>Y42-K43-L43</f>
        <v>-2393851</v>
      </c>
      <c r="Z43" s="217"/>
      <c r="AD43" s="1"/>
      <c r="AE43" s="1"/>
    </row>
    <row r="44" spans="2:31">
      <c r="B44" s="116">
        <v>44540</v>
      </c>
      <c r="C44" s="14" t="str">
        <f t="shared" si="0"/>
        <v/>
      </c>
      <c r="D44" s="87"/>
      <c r="E44" s="87">
        <v>16</v>
      </c>
      <c r="F44" s="23">
        <v>-785395</v>
      </c>
      <c r="G44" s="26">
        <f t="shared" si="10"/>
        <v>4925</v>
      </c>
      <c r="H44" s="132">
        <v>-700</v>
      </c>
      <c r="I44" s="25">
        <v>-2400</v>
      </c>
      <c r="J44" s="25">
        <v>-1000</v>
      </c>
      <c r="K44" s="170">
        <f t="shared" si="3"/>
        <v>-4100</v>
      </c>
      <c r="L44" s="171">
        <v>50</v>
      </c>
      <c r="M44" s="153"/>
      <c r="N44" s="149">
        <f t="shared" si="7"/>
        <v>875</v>
      </c>
      <c r="O44" s="67">
        <f t="shared" si="1"/>
        <v>3604411.3855263176</v>
      </c>
      <c r="P44" s="7">
        <f t="shared" si="4"/>
        <v>136967632.65000007</v>
      </c>
      <c r="Q44" s="164">
        <f>Q43+N44+1</f>
        <v>3813238.45</v>
      </c>
      <c r="R44" s="29">
        <f t="shared" si="2"/>
        <v>2503.1399437772056</v>
      </c>
      <c r="S44" s="5">
        <f>SUM($Q$7:$Q44)/T44</f>
        <v>3860742.923684211</v>
      </c>
      <c r="T44" s="18">
        <v>38</v>
      </c>
      <c r="U44" s="27"/>
      <c r="V44" s="137"/>
      <c r="W44" s="105">
        <v>-2389802</v>
      </c>
      <c r="X44" s="167"/>
      <c r="Y44" s="156">
        <f>Y43-K44-L44-1</f>
        <v>-2389802</v>
      </c>
      <c r="Z44" s="217"/>
      <c r="AD44" s="1"/>
      <c r="AE44" s="1"/>
    </row>
    <row r="45" spans="2:31">
      <c r="B45" s="116">
        <v>44541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3605811.1564102578</v>
      </c>
      <c r="P45" s="7">
        <f t="shared" si="4"/>
        <v>140626635.10000005</v>
      </c>
      <c r="Q45" s="164">
        <f t="shared" si="9"/>
        <v>3813238.45</v>
      </c>
      <c r="R45" s="29">
        <f t="shared" si="2"/>
        <v>2502.3502037503636</v>
      </c>
      <c r="S45" s="5">
        <f>SUM($Q$7:$Q45)/T45</f>
        <v>3859524.8602564107</v>
      </c>
      <c r="T45" s="18">
        <v>39</v>
      </c>
      <c r="U45" s="27"/>
      <c r="V45" s="137"/>
      <c r="W45" s="105">
        <v>-2389802</v>
      </c>
      <c r="X45" s="167"/>
      <c r="Y45" s="156">
        <f>Y44-K45-L45</f>
        <v>-2389802</v>
      </c>
      <c r="Z45" s="217"/>
      <c r="AD45" s="1"/>
      <c r="AE45" s="1"/>
    </row>
    <row r="46" spans="2:31">
      <c r="B46" s="116">
        <v>44542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3607140.9387500011</v>
      </c>
      <c r="P46" s="7">
        <f t="shared" si="4"/>
        <v>144285637.55000004</v>
      </c>
      <c r="Q46" s="164">
        <f t="shared" si="9"/>
        <v>3813238.45</v>
      </c>
      <c r="R46" s="29">
        <f t="shared" si="2"/>
        <v>2501.5980056536737</v>
      </c>
      <c r="S46" s="5">
        <f>SUM($Q$7:$Q46)/T46-3</f>
        <v>3858364.7</v>
      </c>
      <c r="T46" s="18">
        <v>40</v>
      </c>
      <c r="U46" s="27"/>
      <c r="V46" s="137"/>
      <c r="W46" s="105">
        <v>-2389802</v>
      </c>
      <c r="X46" s="167"/>
      <c r="Y46" s="156">
        <f>Y45-K46-L46</f>
        <v>-2389802</v>
      </c>
      <c r="Z46" s="217"/>
      <c r="AD46" s="1"/>
      <c r="AE46" s="1"/>
    </row>
    <row r="47" spans="2:31">
      <c r="B47" s="116">
        <v>44543</v>
      </c>
      <c r="C47" s="14" t="str">
        <f t="shared" si="0"/>
        <v/>
      </c>
      <c r="D47" s="87"/>
      <c r="E47" s="87">
        <v>0</v>
      </c>
      <c r="F47" s="23">
        <v>-774584</v>
      </c>
      <c r="G47" s="26">
        <f>D47+E47+F47-E44-F44</f>
        <v>10795</v>
      </c>
      <c r="H47" s="132">
        <v>-3700</v>
      </c>
      <c r="I47" s="25">
        <v>100</v>
      </c>
      <c r="J47" s="25">
        <v>-1200</v>
      </c>
      <c r="K47" s="170">
        <f t="shared" si="3"/>
        <v>-4800</v>
      </c>
      <c r="L47" s="171">
        <v>-35</v>
      </c>
      <c r="M47" s="153"/>
      <c r="N47" s="149">
        <f t="shared" si="7"/>
        <v>5960</v>
      </c>
      <c r="O47" s="67">
        <f t="shared" si="1"/>
        <v>3608551.2195121958</v>
      </c>
      <c r="P47" s="7">
        <f t="shared" si="4"/>
        <v>147950600.00000003</v>
      </c>
      <c r="Q47" s="164">
        <f>Q46+N47</f>
        <v>3819198.45</v>
      </c>
      <c r="R47" s="29">
        <f t="shared" si="2"/>
        <v>2500.9785993147025</v>
      </c>
      <c r="S47" s="5">
        <f>SUM($Q$7:$Q47)/T47-3</f>
        <v>3857409.352439024</v>
      </c>
      <c r="T47" s="18">
        <v>41</v>
      </c>
      <c r="U47" s="138">
        <f>B47</f>
        <v>44543</v>
      </c>
      <c r="V47" s="137"/>
      <c r="W47" s="105">
        <v>-2384966</v>
      </c>
      <c r="X47" s="167">
        <f>AVERAGE(W47:W55)</f>
        <v>-2321551.3333333335</v>
      </c>
      <c r="Y47" s="156">
        <f t="shared" ref="Y47" si="11">Y46-K47-L47+1</f>
        <v>-2384966</v>
      </c>
      <c r="Z47" s="217">
        <f>AVERAGE(Y47:Y55)</f>
        <v>-2321551.3333333335</v>
      </c>
      <c r="AD47" s="1"/>
      <c r="AE47" s="1"/>
    </row>
    <row r="48" spans="2:31">
      <c r="B48" s="116">
        <v>44544</v>
      </c>
      <c r="C48" s="14" t="str">
        <f t="shared" si="0"/>
        <v/>
      </c>
      <c r="D48" s="87"/>
      <c r="E48" s="87">
        <v>0</v>
      </c>
      <c r="F48" s="23">
        <v>-762827</v>
      </c>
      <c r="G48" s="26">
        <f>D48+E48+F48-E47-F47</f>
        <v>11757</v>
      </c>
      <c r="H48" s="132">
        <v>300</v>
      </c>
      <c r="I48" s="25">
        <v>5500</v>
      </c>
      <c r="J48" s="25">
        <v>-1200</v>
      </c>
      <c r="K48" s="170">
        <f t="shared" si="3"/>
        <v>4600</v>
      </c>
      <c r="L48" s="171">
        <v>-37</v>
      </c>
      <c r="M48" s="153"/>
      <c r="N48" s="149">
        <f t="shared" si="7"/>
        <v>16320</v>
      </c>
      <c r="O48" s="67">
        <f t="shared" si="1"/>
        <v>3610282.9154761909</v>
      </c>
      <c r="P48" s="7">
        <f t="shared" si="4"/>
        <v>151631882.45000002</v>
      </c>
      <c r="Q48" s="164">
        <f>Q47+N48</f>
        <v>3835518.45</v>
      </c>
      <c r="R48" s="29">
        <f t="shared" si="2"/>
        <v>2500.6406215459547</v>
      </c>
      <c r="S48" s="5">
        <f>SUM($Q$7:$Q48)/T48-3</f>
        <v>3856888.0690476187</v>
      </c>
      <c r="T48" s="18">
        <v>42</v>
      </c>
      <c r="U48" s="138">
        <f>B47+8</f>
        <v>44551</v>
      </c>
      <c r="V48" s="137"/>
      <c r="W48" s="105">
        <v>-2389529</v>
      </c>
      <c r="X48" s="167"/>
      <c r="Y48" s="156">
        <f>Y47-K48-L48</f>
        <v>-2389529</v>
      </c>
      <c r="Z48" s="217"/>
      <c r="AD48" s="1"/>
      <c r="AE48" s="1"/>
    </row>
    <row r="49" spans="2:31">
      <c r="B49" s="116">
        <v>44545</v>
      </c>
      <c r="C49" s="14" t="str">
        <f t="shared" si="0"/>
        <v/>
      </c>
      <c r="D49" s="87">
        <f>-195+97</f>
        <v>-98</v>
      </c>
      <c r="E49" s="87">
        <v>2</v>
      </c>
      <c r="F49" s="23">
        <v>-756035</v>
      </c>
      <c r="G49" s="26">
        <f t="shared" ref="G49:G55" si="12">D49+E49+F49-E48-F48</f>
        <v>6696</v>
      </c>
      <c r="H49" s="132">
        <v>300</v>
      </c>
      <c r="I49" s="25">
        <v>-13400</v>
      </c>
      <c r="J49" s="25">
        <v>-1200</v>
      </c>
      <c r="K49" s="170">
        <f t="shared" si="3"/>
        <v>-14300</v>
      </c>
      <c r="L49" s="171">
        <v>-32</v>
      </c>
      <c r="M49" s="153"/>
      <c r="N49" s="149">
        <f t="shared" si="7"/>
        <v>-7636</v>
      </c>
      <c r="O49" s="67">
        <f t="shared" si="1"/>
        <v>3611756.4395348839</v>
      </c>
      <c r="P49" s="7">
        <f t="shared" si="4"/>
        <v>155305526.90000001</v>
      </c>
      <c r="Q49" s="164">
        <f>Q48+N49-2</f>
        <v>3827880.45</v>
      </c>
      <c r="R49" s="29">
        <f t="shared" si="2"/>
        <v>2500.2031973653175</v>
      </c>
      <c r="S49" s="5">
        <f>SUM($Q$7:$Q49)/T49-3</f>
        <v>3856213.4034883711</v>
      </c>
      <c r="T49" s="18">
        <v>43</v>
      </c>
      <c r="U49" s="138"/>
      <c r="V49" s="137"/>
      <c r="W49" s="105">
        <v>-2375195</v>
      </c>
      <c r="X49" s="167"/>
      <c r="Y49" s="156">
        <f>Y48-K49-L49+2</f>
        <v>-2375195</v>
      </c>
      <c r="Z49" s="217"/>
      <c r="AD49" s="1"/>
      <c r="AE49" s="1"/>
    </row>
    <row r="50" spans="2:31">
      <c r="B50" s="116">
        <v>44546</v>
      </c>
      <c r="C50" s="14" t="str">
        <f t="shared" si="0"/>
        <v/>
      </c>
      <c r="D50" s="87">
        <v>1090</v>
      </c>
      <c r="E50" s="87">
        <v>0</v>
      </c>
      <c r="F50" s="23">
        <v>-747782</v>
      </c>
      <c r="G50" s="26">
        <f t="shared" si="12"/>
        <v>9341</v>
      </c>
      <c r="H50" s="132">
        <v>4300</v>
      </c>
      <c r="I50" s="25">
        <v>-56500</v>
      </c>
      <c r="J50" s="25">
        <v>-1200</v>
      </c>
      <c r="K50" s="170">
        <f t="shared" si="3"/>
        <v>-53400</v>
      </c>
      <c r="L50" s="171">
        <v>0</v>
      </c>
      <c r="M50" s="153"/>
      <c r="N50" s="149">
        <f t="shared" si="7"/>
        <v>-44059</v>
      </c>
      <c r="O50" s="67">
        <f t="shared" si="1"/>
        <v>3612161.3488636361</v>
      </c>
      <c r="P50" s="7">
        <f t="shared" si="4"/>
        <v>158935099.34999999</v>
      </c>
      <c r="Q50" s="164">
        <f>Q49+N50-13</f>
        <v>3783808.45</v>
      </c>
      <c r="R50" s="29">
        <f t="shared" si="2"/>
        <v>2499.136238090859</v>
      </c>
      <c r="S50" s="5">
        <f>SUM($Q$7:$Q50)/T50-3</f>
        <v>3854567.7681818171</v>
      </c>
      <c r="T50" s="18">
        <v>44</v>
      </c>
      <c r="U50" s="138"/>
      <c r="V50" s="137"/>
      <c r="W50" s="105">
        <v>-2321782</v>
      </c>
      <c r="X50" s="167"/>
      <c r="Y50" s="156">
        <f>Y49-K50-L50+13</f>
        <v>-2321782</v>
      </c>
      <c r="Z50" s="217"/>
      <c r="AD50" s="1"/>
      <c r="AE50" s="1"/>
    </row>
    <row r="51" spans="2:31">
      <c r="B51" s="116">
        <v>44547</v>
      </c>
      <c r="C51" s="14" t="str">
        <f t="shared" si="0"/>
        <v/>
      </c>
      <c r="D51" s="87"/>
      <c r="E51" s="87">
        <v>0</v>
      </c>
      <c r="F51" s="23">
        <v>-759337</v>
      </c>
      <c r="G51" s="26">
        <f>D51+E51+F51-E50-F50</f>
        <v>-11555</v>
      </c>
      <c r="H51" s="132">
        <v>300</v>
      </c>
      <c r="I51" s="25">
        <v>-28150</v>
      </c>
      <c r="J51" s="25">
        <v>-1200</v>
      </c>
      <c r="K51" s="170">
        <f t="shared" si="3"/>
        <v>-29050</v>
      </c>
      <c r="L51" s="171">
        <v>-32</v>
      </c>
      <c r="M51" s="153"/>
      <c r="N51" s="149">
        <f>L51+K51+G51+M51</f>
        <v>-40637</v>
      </c>
      <c r="O51" s="67">
        <f t="shared" si="1"/>
        <v>3611645.2177777775</v>
      </c>
      <c r="P51" s="7">
        <f t="shared" si="4"/>
        <v>162524034.79999998</v>
      </c>
      <c r="Q51" s="164">
        <f>Q50+N51</f>
        <v>3743171.45</v>
      </c>
      <c r="R51" s="29">
        <f t="shared" si="2"/>
        <v>2497.5337974129106</v>
      </c>
      <c r="S51" s="5">
        <f>SUM($Q$7:$Q51)/T51+1</f>
        <v>3852096.2277777763</v>
      </c>
      <c r="T51" s="18">
        <v>45</v>
      </c>
      <c r="U51" s="138"/>
      <c r="V51" s="137"/>
      <c r="W51" s="105">
        <v>-2292700</v>
      </c>
      <c r="X51" s="167"/>
      <c r="Y51" s="156">
        <f>Y50-K51-L51</f>
        <v>-2292700</v>
      </c>
      <c r="Z51" s="217"/>
      <c r="AD51" s="1"/>
      <c r="AE51" s="1"/>
    </row>
    <row r="52" spans="2:31">
      <c r="B52" s="116">
        <v>44548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3611151.5271739126</v>
      </c>
      <c r="P52" s="7">
        <f t="shared" si="4"/>
        <v>166112970.24999997</v>
      </c>
      <c r="Q52" s="164">
        <f t="shared" ref="Q52:Q55" si="13">Q51+N52</f>
        <v>3743171.45</v>
      </c>
      <c r="R52" s="29">
        <f t="shared" si="2"/>
        <v>2495.9985473982829</v>
      </c>
      <c r="S52" s="5">
        <f>SUM($Q$7:$Q52)/T52+1</f>
        <v>3849728.3195652156</v>
      </c>
      <c r="T52" s="18">
        <v>46</v>
      </c>
      <c r="U52" s="138"/>
      <c r="V52" s="137"/>
      <c r="W52" s="105">
        <v>-2292700</v>
      </c>
      <c r="X52" s="167"/>
      <c r="Y52" s="156">
        <f>Y51-K52-L52</f>
        <v>-2292700</v>
      </c>
      <c r="Z52" s="217"/>
      <c r="AD52" s="1"/>
      <c r="AE52" s="1"/>
    </row>
    <row r="53" spans="2:31">
      <c r="B53" s="116">
        <v>44549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3610678.8446808504</v>
      </c>
      <c r="P53" s="7">
        <f t="shared" si="4"/>
        <v>169701905.69999996</v>
      </c>
      <c r="Q53" s="164">
        <f t="shared" si="13"/>
        <v>3743171.45</v>
      </c>
      <c r="R53" s="29">
        <f t="shared" si="2"/>
        <v>2494.5279788144489</v>
      </c>
      <c r="S53" s="5">
        <f>SUM($Q$7:$Q53)/T53</f>
        <v>3847460.1734042536</v>
      </c>
      <c r="T53" s="18">
        <v>47</v>
      </c>
      <c r="U53" s="138"/>
      <c r="V53" s="137"/>
      <c r="W53" s="105">
        <v>-2292700</v>
      </c>
      <c r="X53" s="167"/>
      <c r="Y53" s="156">
        <f>Y52-K53-L53</f>
        <v>-2292700</v>
      </c>
      <c r="Z53" s="217"/>
      <c r="AD53" s="1"/>
      <c r="AE53" s="1"/>
    </row>
    <row r="54" spans="2:31">
      <c r="B54" s="116">
        <v>44550</v>
      </c>
      <c r="C54" s="14" t="str">
        <f t="shared" si="0"/>
        <v/>
      </c>
      <c r="D54" s="87"/>
      <c r="E54" s="87">
        <v>0</v>
      </c>
      <c r="F54" s="23">
        <v>-733286</v>
      </c>
      <c r="G54" s="26">
        <f>D54+E54+F54-E51-F51</f>
        <v>26051</v>
      </c>
      <c r="H54" s="132">
        <v>-22900</v>
      </c>
      <c r="I54" s="25">
        <v>11600</v>
      </c>
      <c r="J54" s="25">
        <v>-2000</v>
      </c>
      <c r="K54" s="170">
        <f t="shared" si="3"/>
        <v>-13300</v>
      </c>
      <c r="L54" s="171">
        <v>10</v>
      </c>
      <c r="M54" s="153"/>
      <c r="N54" s="149">
        <f t="shared" si="7"/>
        <v>12761</v>
      </c>
      <c r="O54" s="67">
        <f t="shared" si="1"/>
        <v>3610491.7114583324</v>
      </c>
      <c r="P54" s="7">
        <f t="shared" si="4"/>
        <v>173303602.14999995</v>
      </c>
      <c r="Q54" s="164">
        <f t="shared" si="13"/>
        <v>3755932.45</v>
      </c>
      <c r="R54" s="29">
        <f t="shared" si="2"/>
        <v>2493.2916736905336</v>
      </c>
      <c r="S54" s="5">
        <f>SUM($Q$7:$Q54)/T54</f>
        <v>3845553.3458333313</v>
      </c>
      <c r="T54" s="18">
        <v>48</v>
      </c>
      <c r="U54" s="138"/>
      <c r="V54" s="137"/>
      <c r="W54" s="105">
        <v>-2279411</v>
      </c>
      <c r="X54" s="167"/>
      <c r="Y54" s="156">
        <f>Y53-K54-L54-1</f>
        <v>-2279411</v>
      </c>
      <c r="Z54" s="217"/>
      <c r="AD54" s="1"/>
      <c r="AE54" s="1"/>
    </row>
    <row r="55" spans="2:31">
      <c r="B55" s="116">
        <v>44551</v>
      </c>
      <c r="C55" s="14" t="str">
        <f t="shared" si="0"/>
        <v/>
      </c>
      <c r="D55" s="87"/>
      <c r="E55" s="87">
        <v>0</v>
      </c>
      <c r="F55" s="23">
        <v>-738851</v>
      </c>
      <c r="G55" s="26">
        <f t="shared" si="12"/>
        <v>-5565</v>
      </c>
      <c r="H55" s="132">
        <v>-8500</v>
      </c>
      <c r="I55" s="25">
        <v>-3900</v>
      </c>
      <c r="J55" s="25">
        <v>-2000</v>
      </c>
      <c r="K55" s="170">
        <f t="shared" si="3"/>
        <v>-14400</v>
      </c>
      <c r="L55" s="171">
        <v>-31</v>
      </c>
      <c r="M55" s="153"/>
      <c r="N55" s="149">
        <f t="shared" si="7"/>
        <v>-19996</v>
      </c>
      <c r="O55" s="67">
        <f t="shared" si="1"/>
        <v>3609904.1346938764</v>
      </c>
      <c r="P55" s="7">
        <f t="shared" si="4"/>
        <v>176885302.59999993</v>
      </c>
      <c r="Q55" s="164">
        <f t="shared" si="13"/>
        <v>3735936.45</v>
      </c>
      <c r="R55" s="29">
        <f t="shared" si="2"/>
        <v>2491.8412473913536</v>
      </c>
      <c r="S55" s="5">
        <f>SUM($Q$7:$Q55)/T55</f>
        <v>3843316.2663265285</v>
      </c>
      <c r="T55" s="18">
        <v>49</v>
      </c>
      <c r="U55" s="138"/>
      <c r="V55" s="137"/>
      <c r="W55" s="105">
        <v>-2264979</v>
      </c>
      <c r="X55" s="167"/>
      <c r="Y55" s="156">
        <f>Y54-K55-L55+1</f>
        <v>-2264979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2021'!Q55</f>
        <v>3813096.45</v>
      </c>
    </row>
    <row r="60" spans="2:31">
      <c r="D60" s="138" t="s">
        <v>4</v>
      </c>
      <c r="E60" s="139"/>
      <c r="F60" s="143"/>
      <c r="G60" s="91">
        <f>'OCT 2021'!E55</f>
        <v>2</v>
      </c>
    </row>
    <row r="61" spans="2:31">
      <c r="D61" s="138" t="s">
        <v>60</v>
      </c>
      <c r="E61" s="144"/>
      <c r="F61" s="143"/>
      <c r="G61" s="91">
        <f>'OCT 2021'!F55</f>
        <v>-828121</v>
      </c>
    </row>
    <row r="62" spans="2:31" ht="12.75" thickBot="1">
      <c r="D62" s="140" t="s">
        <v>46</v>
      </c>
      <c r="E62" s="145"/>
      <c r="F62" s="146"/>
      <c r="G62" s="158">
        <f>'OCT 2021'!Y55</f>
        <v>-2432452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D88D-6604-4E0D-95E5-C459DDB60AD5}">
  <sheetPr codeName="Sheet29">
    <pageSetUpPr fitToPage="1"/>
  </sheetPr>
  <dimension ref="B1:IU65513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Q55" sqref="Q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155409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44552</v>
      </c>
      <c r="C7" s="196" t="str">
        <f t="shared" ref="C7:C55" si="0">IF(OR(WEEKDAY(B7)=1,WEEKDAY(B7)=7),"F","")</f>
        <v/>
      </c>
      <c r="D7" s="197">
        <f>-60206-97+51975+225</f>
        <v>-8103</v>
      </c>
      <c r="E7" s="197">
        <v>0</v>
      </c>
      <c r="F7" s="198">
        <v>-685413</v>
      </c>
      <c r="G7" s="199">
        <f>D7+E7+F7-G60-G61</f>
        <v>45335</v>
      </c>
      <c r="H7" s="132">
        <v>-200</v>
      </c>
      <c r="I7" s="63">
        <v>5400</v>
      </c>
      <c r="J7" s="63">
        <v>-1500</v>
      </c>
      <c r="K7" s="168">
        <f>+H7+I7+J7</f>
        <v>3700</v>
      </c>
      <c r="L7" s="169">
        <v>-19</v>
      </c>
      <c r="M7" s="203"/>
      <c r="N7" s="204">
        <f>L7+K7+G7+M7</f>
        <v>49016</v>
      </c>
      <c r="O7" s="205">
        <f t="shared" ref="O7:O55" si="1">P7/T7</f>
        <v>3629543.45</v>
      </c>
      <c r="P7" s="206">
        <f>(+$Q7-$Q$3)</f>
        <v>3629543.45</v>
      </c>
      <c r="Q7" s="207">
        <f>G59+N7</f>
        <v>3784952.45</v>
      </c>
      <c r="R7" s="208">
        <f t="shared" ref="R7:R55" si="2">$S7/$Q$3*100</f>
        <v>2435.4782863283335</v>
      </c>
      <c r="S7" s="209">
        <f>$Q7</f>
        <v>3784952.45</v>
      </c>
      <c r="T7" s="210">
        <v>1</v>
      </c>
      <c r="U7" s="211">
        <f>B7</f>
        <v>44552</v>
      </c>
      <c r="V7" s="212">
        <v>2406.1999999999998</v>
      </c>
      <c r="W7" s="213">
        <v>-2268660</v>
      </c>
      <c r="X7" s="214">
        <f>AVERAGE(W7:W11)</f>
        <v>-2243400.4</v>
      </c>
      <c r="Y7" s="215">
        <f>G62-K7-L7</f>
        <v>-2268660</v>
      </c>
      <c r="Z7" s="216">
        <f>AVERAGE(Y7:Y13)</f>
        <v>-2228726.1428571427</v>
      </c>
      <c r="AA7" s="92"/>
    </row>
    <row r="8" spans="2:255">
      <c r="B8" s="116">
        <v>44553</v>
      </c>
      <c r="C8" s="14"/>
      <c r="D8" s="307">
        <f>-2+18</f>
        <v>16</v>
      </c>
      <c r="E8" s="128">
        <v>0</v>
      </c>
      <c r="F8" s="162">
        <v>-682567</v>
      </c>
      <c r="G8" s="26">
        <f>D8+E8+F8-E7-F7</f>
        <v>2862</v>
      </c>
      <c r="H8" s="132">
        <v>-4900</v>
      </c>
      <c r="I8" s="63">
        <v>-21900</v>
      </c>
      <c r="J8" s="63">
        <v>-1600</v>
      </c>
      <c r="K8" s="170">
        <f t="shared" ref="K8:K55" si="3">+H8+I8+J8</f>
        <v>-28400</v>
      </c>
      <c r="L8" s="171">
        <v>33</v>
      </c>
      <c r="M8" s="153"/>
      <c r="N8" s="149">
        <f>L8+K8+G8+M8</f>
        <v>-25505</v>
      </c>
      <c r="O8" s="67">
        <f t="shared" si="1"/>
        <v>1802019.2250000001</v>
      </c>
      <c r="P8" s="163">
        <f>(IF($Q8&lt;0,-$Q$3+P6,($Q8-$Q$3)+P6))</f>
        <v>3604038.45</v>
      </c>
      <c r="Q8" s="164">
        <f>Q7+N8</f>
        <v>3759447.45</v>
      </c>
      <c r="R8" s="29">
        <f t="shared" si="2"/>
        <v>2427.2725196095466</v>
      </c>
      <c r="S8" s="165">
        <f>SUM($Q$7:$Q8)/T8</f>
        <v>3772199.95</v>
      </c>
      <c r="T8" s="166">
        <v>2</v>
      </c>
      <c r="U8" s="138">
        <f>B7+6</f>
        <v>44558</v>
      </c>
      <c r="V8" s="131"/>
      <c r="W8" s="105">
        <v>-2240294</v>
      </c>
      <c r="X8" s="167"/>
      <c r="Y8" s="156">
        <f>Y7-K8-L8-1</f>
        <v>-2240294</v>
      </c>
      <c r="Z8" s="217"/>
      <c r="AA8" s="92"/>
    </row>
    <row r="9" spans="2:255">
      <c r="B9" s="116">
        <v>44554</v>
      </c>
      <c r="C9" s="14" t="str">
        <f t="shared" si="0"/>
        <v/>
      </c>
      <c r="D9" s="87"/>
      <c r="E9" s="87">
        <v>0</v>
      </c>
      <c r="F9" s="23">
        <v>-678711</v>
      </c>
      <c r="G9" s="26">
        <f>D9+E9+F9-E8-F8</f>
        <v>3856</v>
      </c>
      <c r="H9" s="132">
        <v>300</v>
      </c>
      <c r="I9" s="63">
        <v>-3000</v>
      </c>
      <c r="J9" s="63">
        <v>-1600</v>
      </c>
      <c r="K9" s="170">
        <f t="shared" si="3"/>
        <v>-4300</v>
      </c>
      <c r="L9" s="171">
        <v>24</v>
      </c>
      <c r="M9" s="153"/>
      <c r="N9" s="149">
        <f>L9+K9+G9+M9</f>
        <v>-420</v>
      </c>
      <c r="O9" s="67">
        <f t="shared" si="1"/>
        <v>2411053.6333333333</v>
      </c>
      <c r="P9" s="7">
        <f>(IF($Q9&lt;0,-$Q$3+P7,($Q9-$Q$3)+P7))</f>
        <v>7233160.9000000004</v>
      </c>
      <c r="Q9" s="164">
        <f>Q8+N9-1</f>
        <v>3759026.45</v>
      </c>
      <c r="R9" s="29">
        <f t="shared" si="2"/>
        <v>2424.4476081393832</v>
      </c>
      <c r="S9" s="5">
        <f>SUM($Q$7:$Q9)/T9+1</f>
        <v>3767809.7833333337</v>
      </c>
      <c r="T9" s="17">
        <v>3</v>
      </c>
      <c r="U9" s="4"/>
      <c r="V9" s="131"/>
      <c r="W9" s="105">
        <v>-2236016</v>
      </c>
      <c r="X9" s="167"/>
      <c r="Y9" s="156">
        <f>Y8-K9-L9+2</f>
        <v>-2236016</v>
      </c>
      <c r="Z9" s="217"/>
      <c r="AA9" s="92"/>
    </row>
    <row r="10" spans="2:255">
      <c r="B10" s="116">
        <v>44555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2709194.5875000004</v>
      </c>
      <c r="P10" s="7">
        <f t="shared" ref="P10:P55" si="4">(IF($Q10&lt;0,-$Q$3+P9,($Q10-$Q$3)+P9))</f>
        <v>10836778.350000001</v>
      </c>
      <c r="Q10" s="164">
        <f>Q9+N10</f>
        <v>3759026.45</v>
      </c>
      <c r="R10" s="29">
        <f t="shared" si="2"/>
        <v>2423.033543745858</v>
      </c>
      <c r="S10" s="5">
        <f>SUM($Q$7:$Q10)/T10-1</f>
        <v>3765612.2</v>
      </c>
      <c r="T10" s="17">
        <v>4</v>
      </c>
      <c r="U10" s="27"/>
      <c r="V10" s="133"/>
      <c r="W10" s="105">
        <v>-2236016</v>
      </c>
      <c r="X10" s="167"/>
      <c r="Y10" s="156">
        <f>Y9-K10-L10</f>
        <v>-2236016</v>
      </c>
      <c r="Z10" s="217"/>
      <c r="AA10" s="92"/>
    </row>
    <row r="11" spans="2:255">
      <c r="B11" s="116">
        <v>44556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2888079.16</v>
      </c>
      <c r="P11" s="7">
        <f t="shared" si="4"/>
        <v>14440395.800000001</v>
      </c>
      <c r="Q11" s="164">
        <f t="shared" ref="Q11:Q18" si="5">Q10+N11</f>
        <v>3759026.45</v>
      </c>
      <c r="R11" s="29">
        <f t="shared" si="2"/>
        <v>2422.1858772657956</v>
      </c>
      <c r="S11" s="5">
        <f>SUM($Q$7:$Q11)/T11-1</f>
        <v>3764294.85</v>
      </c>
      <c r="T11" s="17">
        <v>5</v>
      </c>
      <c r="U11" s="27"/>
      <c r="V11" s="134"/>
      <c r="W11" s="105">
        <v>-2236016</v>
      </c>
      <c r="X11" s="167"/>
      <c r="Y11" s="156">
        <f t="shared" ref="Y11:Y39" si="6">Y10-K11-L11</f>
        <v>-2236016</v>
      </c>
      <c r="Z11" s="217"/>
      <c r="AA11" s="92"/>
    </row>
    <row r="12" spans="2:255">
      <c r="B12" s="116">
        <v>44557</v>
      </c>
      <c r="C12" s="14" t="str">
        <f t="shared" si="0"/>
        <v/>
      </c>
      <c r="D12" s="87"/>
      <c r="E12" s="161">
        <v>0</v>
      </c>
      <c r="F12" s="23">
        <v>-684311</v>
      </c>
      <c r="G12" s="26">
        <f>D12+E12+F12-E9-F9</f>
        <v>-5600</v>
      </c>
      <c r="H12" s="132">
        <v>300</v>
      </c>
      <c r="I12" s="63">
        <v>-39300</v>
      </c>
      <c r="J12" s="63">
        <v>-200</v>
      </c>
      <c r="K12" s="170">
        <f t="shared" si="3"/>
        <v>-39200</v>
      </c>
      <c r="L12" s="171">
        <v>47</v>
      </c>
      <c r="M12" s="153"/>
      <c r="N12" s="149">
        <f t="shared" ref="N12:N55" si="7">L12+K12+G12+M12</f>
        <v>-44753</v>
      </c>
      <c r="O12" s="67">
        <f t="shared" si="1"/>
        <v>2999876.7083333335</v>
      </c>
      <c r="P12" s="7">
        <f t="shared" si="4"/>
        <v>17999260.25</v>
      </c>
      <c r="Q12" s="164">
        <f>Q11+N12</f>
        <v>3714273.45</v>
      </c>
      <c r="R12" s="29">
        <f t="shared" si="2"/>
        <v>2416.8206367284606</v>
      </c>
      <c r="S12" s="5">
        <f>SUM($Q$7:$Q12)/T12-2</f>
        <v>3755956.7833333332</v>
      </c>
      <c r="T12" s="17">
        <v>6</v>
      </c>
      <c r="U12" s="138">
        <f>B13</f>
        <v>44558</v>
      </c>
      <c r="V12" s="131">
        <v>2489.8000000000002</v>
      </c>
      <c r="W12" s="105">
        <v>-2196863</v>
      </c>
      <c r="X12" s="167">
        <f>AVERAGE(W12:W20)</f>
        <v>-2157437.222222222</v>
      </c>
      <c r="Y12" s="156">
        <f>Y11-K12-L12</f>
        <v>-2196863</v>
      </c>
      <c r="Z12" s="217">
        <f>AVERAGE(Y12:Y20)</f>
        <v>-2157437.222222222</v>
      </c>
      <c r="AA12" s="92"/>
    </row>
    <row r="13" spans="2:255">
      <c r="B13" s="116">
        <v>44558</v>
      </c>
      <c r="C13" s="14"/>
      <c r="D13" s="87"/>
      <c r="E13" s="87">
        <v>0</v>
      </c>
      <c r="F13" s="23">
        <v>-677727</v>
      </c>
      <c r="G13" s="26">
        <f>D13+E13+F13-E12-F12</f>
        <v>6584</v>
      </c>
      <c r="H13" s="132">
        <v>300</v>
      </c>
      <c r="I13" s="63">
        <v>-9600</v>
      </c>
      <c r="J13" s="63">
        <v>-300</v>
      </c>
      <c r="K13" s="170">
        <f t="shared" si="3"/>
        <v>-9600</v>
      </c>
      <c r="L13" s="171">
        <v>-45</v>
      </c>
      <c r="M13" s="153"/>
      <c r="N13" s="149">
        <f t="shared" si="7"/>
        <v>-3061</v>
      </c>
      <c r="O13" s="67">
        <f t="shared" si="1"/>
        <v>3079294.6714285715</v>
      </c>
      <c r="P13" s="7">
        <f>(IF($Q13&lt;0,-$Q$3+P12,($Q13-$Q$3)+P12))</f>
        <v>21555062.699999999</v>
      </c>
      <c r="Q13" s="164">
        <f>Q12+N13-1</f>
        <v>3711211.45</v>
      </c>
      <c r="R13" s="29">
        <f t="shared" si="2"/>
        <v>2412.7073124097424</v>
      </c>
      <c r="S13" s="5">
        <f>SUM($Q$7:$Q13)/T13-2</f>
        <v>3749564.307142857</v>
      </c>
      <c r="T13" s="17">
        <v>7</v>
      </c>
      <c r="U13" s="138">
        <f>B14+6</f>
        <v>44565</v>
      </c>
      <c r="V13" s="249"/>
      <c r="W13" s="105">
        <v>-2187218</v>
      </c>
      <c r="X13" s="167"/>
      <c r="Y13" s="156">
        <f t="shared" ref="Y13:Y14" si="8">Y12-K13-L13</f>
        <v>-2187218</v>
      </c>
      <c r="Z13" s="217"/>
      <c r="AA13" s="92"/>
      <c r="AB13" s="92"/>
    </row>
    <row r="14" spans="2:255">
      <c r="B14" s="116">
        <v>44559</v>
      </c>
      <c r="C14" s="14"/>
      <c r="D14" s="87">
        <f>-225+386</f>
        <v>161</v>
      </c>
      <c r="E14" s="87">
        <v>0</v>
      </c>
      <c r="F14" s="23">
        <v>-692774</v>
      </c>
      <c r="G14" s="26">
        <f>D14+E14+F14-E13-F13</f>
        <v>-14886</v>
      </c>
      <c r="H14" s="132">
        <v>300</v>
      </c>
      <c r="I14" s="63">
        <v>-10300</v>
      </c>
      <c r="J14" s="63">
        <v>-300</v>
      </c>
      <c r="K14" s="170">
        <f t="shared" si="3"/>
        <v>-10300</v>
      </c>
      <c r="L14" s="171">
        <v>18</v>
      </c>
      <c r="M14" s="154"/>
      <c r="N14" s="149">
        <f>L14+K14+G14+M14</f>
        <v>-25168</v>
      </c>
      <c r="O14" s="67">
        <f t="shared" si="1"/>
        <v>3135712.1437499998</v>
      </c>
      <c r="P14" s="7">
        <f t="shared" si="4"/>
        <v>25085697.149999999</v>
      </c>
      <c r="Q14" s="164">
        <f>Q13+N14</f>
        <v>3686043.45</v>
      </c>
      <c r="R14" s="29">
        <f t="shared" si="2"/>
        <v>2407.5986268491524</v>
      </c>
      <c r="S14" s="5">
        <f>SUM($Q$7:$Q14)/T14-1</f>
        <v>3741624.9499999997</v>
      </c>
      <c r="T14" s="17">
        <v>8</v>
      </c>
      <c r="U14" s="4"/>
      <c r="V14" s="4"/>
      <c r="W14" s="105">
        <v>-2176936</v>
      </c>
      <c r="X14" s="167"/>
      <c r="Y14" s="156">
        <f t="shared" si="8"/>
        <v>-2176936</v>
      </c>
      <c r="Z14" s="217"/>
      <c r="AA14" s="92"/>
    </row>
    <row r="15" spans="2:255">
      <c r="B15" s="116">
        <v>44560</v>
      </c>
      <c r="C15" s="14" t="str">
        <f t="shared" si="0"/>
        <v/>
      </c>
      <c r="D15" s="87"/>
      <c r="E15" s="87">
        <v>39</v>
      </c>
      <c r="F15" s="23">
        <v>-713870</v>
      </c>
      <c r="G15" s="26">
        <f>D15+E15+F15-E14-F14</f>
        <v>-21057</v>
      </c>
      <c r="H15" s="132">
        <v>300</v>
      </c>
      <c r="I15" s="63">
        <v>-28600</v>
      </c>
      <c r="J15" s="63">
        <v>-300</v>
      </c>
      <c r="K15" s="170">
        <f t="shared" si="3"/>
        <v>-28600</v>
      </c>
      <c r="L15" s="172">
        <v>-16</v>
      </c>
      <c r="M15" s="153"/>
      <c r="N15" s="149">
        <f>L15+K15+G15+M15</f>
        <v>-49673</v>
      </c>
      <c r="O15" s="67">
        <f t="shared" si="1"/>
        <v>3174073.4</v>
      </c>
      <c r="P15" s="7">
        <f t="shared" si="4"/>
        <v>28566660.599999998</v>
      </c>
      <c r="Q15" s="164">
        <f>Q14+N15+2</f>
        <v>3636372.45</v>
      </c>
      <c r="R15" s="29">
        <f t="shared" si="2"/>
        <v>2400.0740733591142</v>
      </c>
      <c r="S15" s="5">
        <f>SUM($Q$7:$Q15)/T15</f>
        <v>3729931.1166666662</v>
      </c>
      <c r="T15" s="17">
        <v>9</v>
      </c>
      <c r="U15" s="4"/>
      <c r="V15" s="4"/>
      <c r="W15" s="105">
        <v>-2148321</v>
      </c>
      <c r="X15" s="167"/>
      <c r="Y15" s="156">
        <f>Y14-K15-L15-1</f>
        <v>-2148321</v>
      </c>
      <c r="Z15" s="217"/>
      <c r="AA15" s="92"/>
      <c r="AB15" s="92"/>
    </row>
    <row r="16" spans="2:255" s="69" customFormat="1">
      <c r="B16" s="116">
        <v>44561</v>
      </c>
      <c r="C16" s="14"/>
      <c r="D16" s="129"/>
      <c r="E16" s="87">
        <v>0</v>
      </c>
      <c r="F16" s="23">
        <v>-779596</v>
      </c>
      <c r="G16" s="26">
        <f>D16+E16+F16-E15-F15</f>
        <v>-65765</v>
      </c>
      <c r="H16" s="132">
        <v>-11700</v>
      </c>
      <c r="I16" s="63">
        <v>-46500</v>
      </c>
      <c r="J16" s="63">
        <v>-300</v>
      </c>
      <c r="K16" s="170">
        <f t="shared" si="3"/>
        <v>-58500</v>
      </c>
      <c r="L16" s="172">
        <v>46</v>
      </c>
      <c r="M16" s="153"/>
      <c r="N16" s="152">
        <f>L16+K16+G16+M16</f>
        <v>-124219</v>
      </c>
      <c r="O16" s="67">
        <f t="shared" si="1"/>
        <v>3192340.5049999999</v>
      </c>
      <c r="P16" s="70">
        <f t="shared" si="4"/>
        <v>31923405.049999997</v>
      </c>
      <c r="Q16" s="164">
        <f>Q15+N16</f>
        <v>3512153.45</v>
      </c>
      <c r="R16" s="71">
        <f t="shared" si="2"/>
        <v>2386.060878070125</v>
      </c>
      <c r="S16" s="72">
        <f>SUM($Q$7:$Q16)/T16</f>
        <v>3708153.35</v>
      </c>
      <c r="T16" s="73">
        <v>10</v>
      </c>
      <c r="U16" s="218"/>
      <c r="V16" s="133"/>
      <c r="W16" s="105">
        <v>-2089868</v>
      </c>
      <c r="X16" s="167"/>
      <c r="Y16" s="156">
        <f>Y15-K16-L16-1</f>
        <v>-2089868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44562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3207286.3181818184</v>
      </c>
      <c r="P17" s="7">
        <f t="shared" si="4"/>
        <v>35280149.5</v>
      </c>
      <c r="Q17" s="164">
        <f t="shared" si="5"/>
        <v>3512153.45</v>
      </c>
      <c r="R17" s="29">
        <f t="shared" si="2"/>
        <v>2374.5955364700421</v>
      </c>
      <c r="S17" s="5">
        <f>SUM($Q$7:$Q17)/T17</f>
        <v>3690335.1772727277</v>
      </c>
      <c r="T17" s="18">
        <v>11</v>
      </c>
      <c r="U17" s="27"/>
      <c r="V17" s="136"/>
      <c r="W17" s="105">
        <v>-2089868</v>
      </c>
      <c r="X17" s="167"/>
      <c r="Y17" s="156">
        <f t="shared" si="6"/>
        <v>-2089868</v>
      </c>
      <c r="Z17" s="217"/>
      <c r="AA17" s="92"/>
      <c r="AC17" s="92"/>
    </row>
    <row r="18" spans="2:31">
      <c r="B18" s="116">
        <v>44563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3219741.1625000001</v>
      </c>
      <c r="P18" s="7">
        <f t="shared" si="4"/>
        <v>38636893.950000003</v>
      </c>
      <c r="Q18" s="164">
        <f t="shared" si="5"/>
        <v>3512153.45</v>
      </c>
      <c r="R18" s="29">
        <f t="shared" si="2"/>
        <v>2365.0404416732626</v>
      </c>
      <c r="S18" s="5">
        <f>SUM($Q$7:$Q18)/T18-1</f>
        <v>3675485.7000000007</v>
      </c>
      <c r="T18" s="18">
        <v>12</v>
      </c>
      <c r="U18" s="27"/>
      <c r="V18" s="136"/>
      <c r="W18" s="105">
        <v>-2089868</v>
      </c>
      <c r="X18" s="167"/>
      <c r="Y18" s="156">
        <f t="shared" si="6"/>
        <v>-2089868</v>
      </c>
      <c r="Z18" s="217"/>
      <c r="AA18" s="92"/>
    </row>
    <row r="19" spans="2:31">
      <c r="B19" s="116">
        <v>44564</v>
      </c>
      <c r="C19" s="14" t="str">
        <f t="shared" si="0"/>
        <v/>
      </c>
      <c r="D19" s="87"/>
      <c r="E19" s="87">
        <v>70</v>
      </c>
      <c r="F19" s="23">
        <v>-650477</v>
      </c>
      <c r="G19" s="26">
        <f>D19+E19+F19-E16-F16</f>
        <v>129189</v>
      </c>
      <c r="H19" s="132">
        <v>300</v>
      </c>
      <c r="I19" s="63">
        <v>99700</v>
      </c>
      <c r="J19" s="63">
        <v>500</v>
      </c>
      <c r="K19" s="170">
        <f t="shared" si="3"/>
        <v>100500</v>
      </c>
      <c r="L19" s="171">
        <v>-13</v>
      </c>
      <c r="M19" s="153"/>
      <c r="N19" s="149">
        <f t="shared" si="7"/>
        <v>229676</v>
      </c>
      <c r="O19" s="67">
        <f t="shared" si="1"/>
        <v>3247947.3384615388</v>
      </c>
      <c r="P19" s="7">
        <f t="shared" si="4"/>
        <v>42223315.400000006</v>
      </c>
      <c r="Q19" s="164">
        <f>Q18+N19+1</f>
        <v>3741830.45</v>
      </c>
      <c r="R19" s="29">
        <f t="shared" si="2"/>
        <v>2368.3249138625279</v>
      </c>
      <c r="S19" s="5">
        <f>SUM($Q$7:$Q19)/T19</f>
        <v>3680590.0653846161</v>
      </c>
      <c r="T19" s="18">
        <v>13</v>
      </c>
      <c r="U19" s="138">
        <f>B19</f>
        <v>44564</v>
      </c>
      <c r="V19" s="131">
        <v>2444.1999999999998</v>
      </c>
      <c r="W19" s="105">
        <v>-2190355</v>
      </c>
      <c r="X19" s="167">
        <f>AVERAGE(W20:W27)</f>
        <v>-2319466</v>
      </c>
      <c r="Y19" s="156">
        <f>Y18-K19-L19</f>
        <v>-2190355</v>
      </c>
      <c r="Z19" s="217">
        <f>AVERAGE(Y20:Y27)</f>
        <v>-2319466</v>
      </c>
      <c r="AA19" s="92"/>
    </row>
    <row r="20" spans="2:31">
      <c r="B20" s="116">
        <v>44565</v>
      </c>
      <c r="C20" s="14"/>
      <c r="D20" s="87"/>
      <c r="E20" s="87">
        <v>0</v>
      </c>
      <c r="F20" s="23">
        <v>-635240</v>
      </c>
      <c r="G20" s="26">
        <f>D20+E20+F20-E19-F19</f>
        <v>15167</v>
      </c>
      <c r="H20" s="132">
        <v>10300</v>
      </c>
      <c r="I20" s="63">
        <v>46500</v>
      </c>
      <c r="J20" s="63">
        <v>500</v>
      </c>
      <c r="K20" s="170">
        <f t="shared" si="3"/>
        <v>57300</v>
      </c>
      <c r="L20" s="171">
        <v>-17</v>
      </c>
      <c r="M20" s="153"/>
      <c r="N20" s="149">
        <f t="shared" si="7"/>
        <v>72450</v>
      </c>
      <c r="O20" s="67">
        <f t="shared" si="1"/>
        <v>3277298.9892857149</v>
      </c>
      <c r="P20" s="7">
        <f t="shared" si="4"/>
        <v>45882185.850000009</v>
      </c>
      <c r="Q20" s="164">
        <f>Q19+N20-1</f>
        <v>3814279.45</v>
      </c>
      <c r="R20" s="29">
        <f t="shared" si="2"/>
        <v>2374.4688577513903</v>
      </c>
      <c r="S20" s="5">
        <f>SUM($Q$7:$Q20)/T20-1</f>
        <v>3690138.3071428579</v>
      </c>
      <c r="T20" s="18">
        <v>14</v>
      </c>
      <c r="U20" s="138">
        <f>B19+8</f>
        <v>44572</v>
      </c>
      <c r="V20" s="131"/>
      <c r="W20" s="105">
        <v>-2247638</v>
      </c>
      <c r="X20" s="167"/>
      <c r="Y20" s="156">
        <f>Y19-K20-L20</f>
        <v>-2247638</v>
      </c>
      <c r="Z20" s="217"/>
      <c r="AA20" s="92"/>
      <c r="AB20" s="92"/>
    </row>
    <row r="21" spans="2:31">
      <c r="B21" s="116">
        <v>44566</v>
      </c>
      <c r="C21" s="14" t="str">
        <f t="shared" si="0"/>
        <v/>
      </c>
      <c r="D21" s="87">
        <f>-386+430</f>
        <v>44</v>
      </c>
      <c r="E21" s="87">
        <v>0</v>
      </c>
      <c r="F21" s="23">
        <v>-639707</v>
      </c>
      <c r="G21" s="26">
        <f>D21+E21+F21-E20-F20</f>
        <v>-4423</v>
      </c>
      <c r="H21" s="132">
        <v>400</v>
      </c>
      <c r="I21" s="63">
        <v>28500</v>
      </c>
      <c r="J21" s="63">
        <v>600</v>
      </c>
      <c r="K21" s="170">
        <f t="shared" si="3"/>
        <v>29500</v>
      </c>
      <c r="L21" s="171">
        <v>-26</v>
      </c>
      <c r="M21" s="153"/>
      <c r="N21" s="149">
        <f>L21+K21+G21+M21</f>
        <v>25051</v>
      </c>
      <c r="O21" s="67">
        <f t="shared" si="1"/>
        <v>3304407.0866666674</v>
      </c>
      <c r="P21" s="7">
        <f t="shared" si="4"/>
        <v>49566106.300000012</v>
      </c>
      <c r="Q21" s="164">
        <f>Q20+N21-1</f>
        <v>3839329.45</v>
      </c>
      <c r="R21" s="29">
        <f t="shared" si="2"/>
        <v>2380.8687506300585</v>
      </c>
      <c r="S21" s="5">
        <f>SUM($Q$7:$Q21)/T21-1</f>
        <v>3700084.3166666678</v>
      </c>
      <c r="T21" s="18">
        <v>15</v>
      </c>
      <c r="U21" s="4"/>
      <c r="V21" s="131"/>
      <c r="W21" s="105">
        <v>-2277111</v>
      </c>
      <c r="X21" s="167"/>
      <c r="Y21" s="156">
        <f>Y20-K21-L21+1</f>
        <v>-2277111</v>
      </c>
      <c r="Z21" s="217"/>
      <c r="AA21" s="92"/>
    </row>
    <row r="22" spans="2:31">
      <c r="B22" s="116">
        <v>44567</v>
      </c>
      <c r="C22" s="14" t="str">
        <f t="shared" si="0"/>
        <v/>
      </c>
      <c r="D22" s="87"/>
      <c r="E22" s="87">
        <v>0</v>
      </c>
      <c r="F22" s="23">
        <v>-643781</v>
      </c>
      <c r="G22" s="26">
        <f>D22+E22+F22-E21-F21</f>
        <v>-4074</v>
      </c>
      <c r="H22" s="132">
        <v>300</v>
      </c>
      <c r="I22" s="63">
        <v>15900</v>
      </c>
      <c r="J22" s="63">
        <v>600</v>
      </c>
      <c r="K22" s="170">
        <f t="shared" si="3"/>
        <v>16800</v>
      </c>
      <c r="L22" s="171">
        <v>-5</v>
      </c>
      <c r="M22" s="153"/>
      <c r="N22" s="149">
        <f>L22+K22+G22+M22</f>
        <v>12721</v>
      </c>
      <c r="O22" s="67">
        <f t="shared" si="1"/>
        <v>3328921.7968750009</v>
      </c>
      <c r="P22" s="7">
        <f t="shared" si="4"/>
        <v>53262748.750000015</v>
      </c>
      <c r="Q22" s="164">
        <f>Q21+N22+1</f>
        <v>3852051.45</v>
      </c>
      <c r="R22" s="29">
        <f t="shared" si="2"/>
        <v>2386.9802907167546</v>
      </c>
      <c r="S22" s="5">
        <f>SUM($Q$7:$Q22)/T22-1</f>
        <v>3709582.2000000011</v>
      </c>
      <c r="T22" s="18">
        <v>16</v>
      </c>
      <c r="U22" s="4"/>
      <c r="V22" s="131"/>
      <c r="W22" s="105">
        <v>-2293906</v>
      </c>
      <c r="X22" s="167"/>
      <c r="Y22" s="156">
        <f>Y21-K22-L22</f>
        <v>-2293906</v>
      </c>
      <c r="Z22" s="217"/>
      <c r="AA22" s="92"/>
    </row>
    <row r="23" spans="2:31">
      <c r="B23" s="116">
        <v>44568</v>
      </c>
      <c r="C23" s="14"/>
      <c r="D23" s="87"/>
      <c r="E23" s="87">
        <v>0</v>
      </c>
      <c r="F23" s="23">
        <v>-644497</v>
      </c>
      <c r="G23" s="26">
        <f>D23+E23+F23-E22-F22</f>
        <v>-716</v>
      </c>
      <c r="H23" s="132">
        <v>300</v>
      </c>
      <c r="I23" s="63">
        <v>41800</v>
      </c>
      <c r="J23" s="63">
        <v>600</v>
      </c>
      <c r="K23" s="170">
        <f t="shared" si="3"/>
        <v>42700</v>
      </c>
      <c r="L23" s="171">
        <v>11</v>
      </c>
      <c r="M23" s="153"/>
      <c r="N23" s="149">
        <f>L23+K23+G23+M23</f>
        <v>41995</v>
      </c>
      <c r="O23" s="67">
        <f t="shared" si="1"/>
        <v>3353022.7176470598</v>
      </c>
      <c r="P23" s="7">
        <f t="shared" si="4"/>
        <v>57001386.200000018</v>
      </c>
      <c r="Q23" s="164">
        <f>Q22+N23</f>
        <v>3894046.45</v>
      </c>
      <c r="R23" s="29">
        <f t="shared" si="2"/>
        <v>2393.9630133465666</v>
      </c>
      <c r="S23" s="5">
        <f>SUM($Q$7:$Q23)/T23</f>
        <v>3720433.9794117659</v>
      </c>
      <c r="T23" s="18">
        <v>17</v>
      </c>
      <c r="U23" s="27"/>
      <c r="V23" s="135"/>
      <c r="W23" s="105">
        <v>-2336617</v>
      </c>
      <c r="X23" s="167"/>
      <c r="Y23" s="156">
        <f>Y22-K23-L23</f>
        <v>-2336617</v>
      </c>
      <c r="Z23" s="217"/>
      <c r="AA23" s="92"/>
    </row>
    <row r="24" spans="2:31">
      <c r="B24" s="116">
        <v>44569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3374445.7583333347</v>
      </c>
      <c r="P24" s="7">
        <f t="shared" si="4"/>
        <v>60740023.650000021</v>
      </c>
      <c r="Q24" s="164">
        <f>Q23+N24</f>
        <v>3894046.45</v>
      </c>
      <c r="R24" s="29">
        <f t="shared" si="2"/>
        <v>2400.1693059389536</v>
      </c>
      <c r="S24" s="5">
        <f>SUM($Q$7:$Q24)/T24</f>
        <v>3730079.1166666681</v>
      </c>
      <c r="T24" s="18">
        <v>18</v>
      </c>
      <c r="U24" s="4"/>
      <c r="V24" s="135"/>
      <c r="W24" s="105">
        <v>-2336617</v>
      </c>
      <c r="X24" s="167"/>
      <c r="Y24" s="156">
        <f t="shared" si="6"/>
        <v>-2336617</v>
      </c>
      <c r="Z24" s="217"/>
      <c r="AA24" s="92"/>
      <c r="AD24" s="1"/>
      <c r="AE24" s="1"/>
    </row>
    <row r="25" spans="2:31">
      <c r="B25" s="116">
        <v>44570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3393613.7421052642</v>
      </c>
      <c r="P25" s="7">
        <f t="shared" si="4"/>
        <v>64478661.100000024</v>
      </c>
      <c r="Q25" s="164">
        <f>Q24+N25</f>
        <v>3894046.45</v>
      </c>
      <c r="R25" s="29">
        <f t="shared" si="2"/>
        <v>2405.7216611108693</v>
      </c>
      <c r="S25" s="5">
        <f>SUM($Q$7:$Q25)/T25-1</f>
        <v>3738707.9763157908</v>
      </c>
      <c r="T25" s="18">
        <v>19</v>
      </c>
      <c r="U25" s="4"/>
      <c r="V25" s="131"/>
      <c r="W25" s="105">
        <v>-2336617</v>
      </c>
      <c r="X25" s="167"/>
      <c r="Y25" s="156">
        <f t="shared" si="6"/>
        <v>-2336617</v>
      </c>
      <c r="Z25" s="217"/>
      <c r="AA25" s="92"/>
      <c r="AD25" s="1"/>
      <c r="AE25" s="1"/>
    </row>
    <row r="26" spans="2:31">
      <c r="B26" s="116">
        <v>44571</v>
      </c>
      <c r="C26" s="14"/>
      <c r="D26" s="87"/>
      <c r="E26" s="87">
        <v>0</v>
      </c>
      <c r="F26" s="23">
        <v>-658990</v>
      </c>
      <c r="G26" s="26">
        <f>D26+E26+F26-E23-F23</f>
        <v>-14493</v>
      </c>
      <c r="H26" s="132">
        <v>300</v>
      </c>
      <c r="I26" s="63">
        <v>16800</v>
      </c>
      <c r="J26" s="63">
        <v>600</v>
      </c>
      <c r="K26" s="170">
        <f t="shared" si="3"/>
        <v>17700</v>
      </c>
      <c r="L26" s="171">
        <v>25</v>
      </c>
      <c r="M26" s="153"/>
      <c r="N26" s="149">
        <f t="shared" si="7"/>
        <v>3232</v>
      </c>
      <c r="O26" s="67">
        <f t="shared" si="1"/>
        <v>3411026.5275000012</v>
      </c>
      <c r="P26" s="7">
        <f t="shared" si="4"/>
        <v>68220530.550000027</v>
      </c>
      <c r="Q26" s="164">
        <f>Q25+N26</f>
        <v>3897278.45</v>
      </c>
      <c r="R26" s="29">
        <f t="shared" si="2"/>
        <v>2410.823343564402</v>
      </c>
      <c r="S26" s="5">
        <f>SUM($Q$7:$Q26)/T26-1</f>
        <v>3746636.4500000016</v>
      </c>
      <c r="T26" s="18">
        <v>20</v>
      </c>
      <c r="U26" s="138">
        <f>B26</f>
        <v>44571</v>
      </c>
      <c r="V26" s="131">
        <v>2395</v>
      </c>
      <c r="W26" s="105">
        <v>-2354342</v>
      </c>
      <c r="X26" s="167">
        <f>AVERAGE(W26:W34)</f>
        <v>-2387484.111111111</v>
      </c>
      <c r="Y26" s="156">
        <f>Y25-K26-L26</f>
        <v>-2354342</v>
      </c>
      <c r="Z26" s="217">
        <f>AVERAGE(Y26:Y34)</f>
        <v>-2387484.111111111</v>
      </c>
      <c r="AC26" s="92"/>
      <c r="AD26" s="1"/>
      <c r="AE26" s="1"/>
    </row>
    <row r="27" spans="2:31">
      <c r="B27" s="116">
        <v>44572</v>
      </c>
      <c r="C27" s="14" t="str">
        <f t="shared" si="0"/>
        <v/>
      </c>
      <c r="D27" s="87"/>
      <c r="E27" s="87">
        <v>0</v>
      </c>
      <c r="F27" s="23">
        <v>-662454</v>
      </c>
      <c r="G27" s="26">
        <f>D27+E27+F27-E26-F26</f>
        <v>-3464</v>
      </c>
      <c r="H27" s="132">
        <v>300</v>
      </c>
      <c r="I27" s="63">
        <v>17600</v>
      </c>
      <c r="J27" s="63">
        <v>600</v>
      </c>
      <c r="K27" s="170">
        <f t="shared" si="3"/>
        <v>18500</v>
      </c>
      <c r="L27" s="171">
        <v>37</v>
      </c>
      <c r="M27" s="153"/>
      <c r="N27" s="149">
        <f>L27+K27+G27+M27</f>
        <v>15073</v>
      </c>
      <c r="O27" s="67">
        <f t="shared" si="1"/>
        <v>3427498.7142857155</v>
      </c>
      <c r="P27" s="7">
        <f t="shared" si="4"/>
        <v>71977473.00000003</v>
      </c>
      <c r="Q27" s="164">
        <f>Q26+N27</f>
        <v>3912351.45</v>
      </c>
      <c r="R27" s="29">
        <f t="shared" si="2"/>
        <v>2415.9010049978729</v>
      </c>
      <c r="S27" s="5">
        <f>SUM($Q$7:$Q27)/T27-1</f>
        <v>3754527.5928571443</v>
      </c>
      <c r="T27" s="18">
        <v>21</v>
      </c>
      <c r="U27" s="138">
        <f>B28+6</f>
        <v>44579</v>
      </c>
      <c r="V27" s="159"/>
      <c r="W27" s="105">
        <v>-2372880</v>
      </c>
      <c r="X27" s="167"/>
      <c r="Y27" s="156">
        <f>Y26-K27-L27-1</f>
        <v>-2372880</v>
      </c>
      <c r="Z27" s="217"/>
      <c r="AA27" s="92"/>
      <c r="AD27" s="1"/>
      <c r="AE27" s="1"/>
    </row>
    <row r="28" spans="2:31">
      <c r="B28" s="116">
        <v>44573</v>
      </c>
      <c r="C28" s="14" t="str">
        <f t="shared" si="0"/>
        <v/>
      </c>
      <c r="D28" s="87">
        <f>-430+379</f>
        <v>-51</v>
      </c>
      <c r="E28" s="87">
        <v>0</v>
      </c>
      <c r="F28" s="23">
        <v>-694475</v>
      </c>
      <c r="G28" s="26">
        <f>D28+E28+F28-E27-F27</f>
        <v>-32072</v>
      </c>
      <c r="H28" s="132">
        <v>300</v>
      </c>
      <c r="I28" s="63">
        <v>-9300</v>
      </c>
      <c r="J28" s="63">
        <v>600</v>
      </c>
      <c r="K28" s="170">
        <f t="shared" si="3"/>
        <v>-8400</v>
      </c>
      <c r="L28" s="171">
        <v>-31</v>
      </c>
      <c r="M28" s="153"/>
      <c r="N28" s="149">
        <f>L28+K28+G28+M28</f>
        <v>-40503</v>
      </c>
      <c r="O28" s="67">
        <f t="shared" si="1"/>
        <v>3440632.4295454561</v>
      </c>
      <c r="P28" s="7">
        <f t="shared" si="4"/>
        <v>75693913.450000033</v>
      </c>
      <c r="Q28" s="164">
        <f>Q27+N28+1</f>
        <v>3871849.45</v>
      </c>
      <c r="R28" s="29">
        <f t="shared" si="2"/>
        <v>2419.3324447689074</v>
      </c>
      <c r="S28" s="5">
        <f>SUM($Q$7:$Q28)/T28-1</f>
        <v>3759860.3590909108</v>
      </c>
      <c r="T28" s="18">
        <v>22</v>
      </c>
      <c r="U28" s="4"/>
      <c r="V28" s="131"/>
      <c r="W28" s="105">
        <v>-2364449</v>
      </c>
      <c r="X28" s="167"/>
      <c r="Y28" s="156">
        <f>Y27-K28-L28</f>
        <v>-2364449</v>
      </c>
      <c r="Z28" s="217"/>
      <c r="AA28" s="92"/>
      <c r="AD28" s="1"/>
      <c r="AE28" s="1"/>
    </row>
    <row r="29" spans="2:31">
      <c r="B29" s="116">
        <v>44574</v>
      </c>
      <c r="C29" s="14" t="str">
        <f t="shared" si="0"/>
        <v/>
      </c>
      <c r="D29" s="87"/>
      <c r="E29" s="87">
        <v>0</v>
      </c>
      <c r="F29" s="23">
        <v>-719468</v>
      </c>
      <c r="G29" s="26">
        <f>D29+E29+F29-E28-F28</f>
        <v>-24993</v>
      </c>
      <c r="H29" s="132">
        <v>300</v>
      </c>
      <c r="I29" s="63">
        <v>14800</v>
      </c>
      <c r="J29" s="63">
        <v>500</v>
      </c>
      <c r="K29" s="170">
        <f t="shared" si="3"/>
        <v>15600</v>
      </c>
      <c r="L29" s="171">
        <v>27</v>
      </c>
      <c r="M29" s="153"/>
      <c r="N29" s="149">
        <f>L29+K29+G29+M29</f>
        <v>-9366</v>
      </c>
      <c r="O29" s="67">
        <f t="shared" si="1"/>
        <v>3452216.9521739148</v>
      </c>
      <c r="P29" s="7">
        <f t="shared" si="4"/>
        <v>79400989.900000036</v>
      </c>
      <c r="Q29" s="164">
        <f>Q28+N29+2</f>
        <v>3862485.45</v>
      </c>
      <c r="R29" s="29">
        <f t="shared" si="2"/>
        <v>2422.2035249483351</v>
      </c>
      <c r="S29" s="5">
        <f>SUM($Q$7:$Q29)/T29-1</f>
        <v>3764322.2760869581</v>
      </c>
      <c r="T29" s="18">
        <v>23</v>
      </c>
      <c r="U29" s="4"/>
      <c r="V29" s="131"/>
      <c r="W29" s="105">
        <v>-2380078</v>
      </c>
      <c r="X29" s="167"/>
      <c r="Y29" s="156">
        <f>Y28-K29-L29-2</f>
        <v>-2380078</v>
      </c>
      <c r="Z29" s="217"/>
      <c r="AA29" s="92"/>
      <c r="AD29" s="1"/>
      <c r="AE29" s="1"/>
    </row>
    <row r="30" spans="2:31">
      <c r="B30" s="116">
        <v>44575</v>
      </c>
      <c r="C30" s="14" t="str">
        <f t="shared" si="0"/>
        <v/>
      </c>
      <c r="D30" s="87"/>
      <c r="E30" s="87">
        <v>0</v>
      </c>
      <c r="F30" s="23">
        <v>-705449</v>
      </c>
      <c r="G30" s="26">
        <f>D30+E30+F30-E29-F29</f>
        <v>14019</v>
      </c>
      <c r="H30" s="132">
        <v>2800</v>
      </c>
      <c r="I30" s="25">
        <v>11700</v>
      </c>
      <c r="J30" s="25">
        <v>500</v>
      </c>
      <c r="K30" s="170">
        <f t="shared" si="3"/>
        <v>15000</v>
      </c>
      <c r="L30" s="171">
        <v>28</v>
      </c>
      <c r="M30" s="153"/>
      <c r="N30" s="149">
        <f>L30+K30+G30+M30</f>
        <v>29047</v>
      </c>
      <c r="O30" s="67">
        <f t="shared" si="1"/>
        <v>3464046.3479166683</v>
      </c>
      <c r="P30" s="7">
        <f t="shared" si="4"/>
        <v>83137112.350000039</v>
      </c>
      <c r="Q30" s="164">
        <f>Q29+N30-1</f>
        <v>3891531.45</v>
      </c>
      <c r="R30" s="29">
        <f t="shared" si="2"/>
        <v>2425.6186042421409</v>
      </c>
      <c r="S30" s="5">
        <f>SUM($Q$7:$Q30)/T30+6</f>
        <v>3769629.6166666686</v>
      </c>
      <c r="T30" s="18">
        <v>24</v>
      </c>
      <c r="U30" s="4"/>
      <c r="V30" s="131"/>
      <c r="W30" s="105">
        <v>-2395106</v>
      </c>
      <c r="X30" s="167"/>
      <c r="Y30" s="156">
        <f>Y29-K30-L30</f>
        <v>-2395106</v>
      </c>
      <c r="Z30" s="217"/>
      <c r="AA30" s="92"/>
      <c r="AD30" s="1"/>
      <c r="AE30" s="1"/>
    </row>
    <row r="31" spans="2:31">
      <c r="B31" s="116">
        <v>44576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3474929.3920000019</v>
      </c>
      <c r="P31" s="7">
        <f t="shared" si="4"/>
        <v>86873234.800000042</v>
      </c>
      <c r="Q31" s="164">
        <f t="shared" ref="Q31:Q46" si="9">Q30+N31</f>
        <v>3891531.45</v>
      </c>
      <c r="R31" s="29">
        <f t="shared" si="2"/>
        <v>2428.7537594347828</v>
      </c>
      <c r="S31" s="5">
        <f>SUM($Q$7:$Q31)/T31+2</f>
        <v>3774501.9300000016</v>
      </c>
      <c r="T31" s="18">
        <v>25</v>
      </c>
      <c r="U31" s="4"/>
      <c r="V31" s="137"/>
      <c r="W31" s="105">
        <v>-2395106</v>
      </c>
      <c r="X31" s="167"/>
      <c r="Y31" s="156">
        <f t="shared" si="6"/>
        <v>-2395106</v>
      </c>
      <c r="Z31" s="217"/>
      <c r="AA31" s="92"/>
      <c r="AB31" s="92"/>
      <c r="AD31" s="1"/>
      <c r="AE31" s="1"/>
    </row>
    <row r="32" spans="2:31">
      <c r="B32" s="116">
        <v>44577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3484975.2788461554</v>
      </c>
      <c r="P32" s="7">
        <f t="shared" si="4"/>
        <v>90609357.250000045</v>
      </c>
      <c r="Q32" s="164">
        <f t="shared" si="9"/>
        <v>3891531.45</v>
      </c>
      <c r="R32" s="29">
        <f t="shared" si="2"/>
        <v>2431.6449770011354</v>
      </c>
      <c r="S32" s="5">
        <f>SUM($Q$7:$Q32)/T32-6</f>
        <v>3778995.1423076941</v>
      </c>
      <c r="T32" s="18">
        <v>26</v>
      </c>
      <c r="U32" s="27"/>
      <c r="V32" s="137"/>
      <c r="W32" s="105">
        <v>-2395106</v>
      </c>
      <c r="X32" s="167"/>
      <c r="Y32" s="156">
        <f t="shared" si="6"/>
        <v>-2395106</v>
      </c>
      <c r="Z32" s="217"/>
      <c r="AD32" s="1"/>
      <c r="AE32" s="1"/>
    </row>
    <row r="33" spans="2:31">
      <c r="B33" s="116">
        <v>44578</v>
      </c>
      <c r="C33" s="14" t="str">
        <f t="shared" si="0"/>
        <v/>
      </c>
      <c r="D33" s="87"/>
      <c r="E33" s="87">
        <v>0</v>
      </c>
      <c r="F33" s="23">
        <v>-711266</v>
      </c>
      <c r="G33" s="26">
        <f>D33+E33+F33-E30-F30</f>
        <v>-5817</v>
      </c>
      <c r="H33" s="132">
        <v>300</v>
      </c>
      <c r="I33" s="25">
        <v>12100</v>
      </c>
      <c r="J33" s="25">
        <v>200</v>
      </c>
      <c r="K33" s="170">
        <f t="shared" si="3"/>
        <v>12600</v>
      </c>
      <c r="L33" s="171">
        <v>5</v>
      </c>
      <c r="M33" s="153"/>
      <c r="N33" s="149">
        <f t="shared" si="7"/>
        <v>6788</v>
      </c>
      <c r="O33" s="67">
        <f t="shared" si="1"/>
        <v>3494528.4703703723</v>
      </c>
      <c r="P33" s="7">
        <f t="shared" si="4"/>
        <v>94352268.700000048</v>
      </c>
      <c r="Q33" s="164">
        <f>Q32+N33+1</f>
        <v>3898320.45</v>
      </c>
      <c r="R33" s="29">
        <f t="shared" si="2"/>
        <v>2434.4918093070078</v>
      </c>
      <c r="S33" s="5">
        <f>SUM($Q$7:$Q33)/T33-1</f>
        <v>3783419.3759259279</v>
      </c>
      <c r="T33" s="18">
        <v>27</v>
      </c>
      <c r="U33" s="138">
        <f>B33</f>
        <v>44578</v>
      </c>
      <c r="V33" s="131">
        <v>2345.5</v>
      </c>
      <c r="W33" s="105">
        <v>-2407711</v>
      </c>
      <c r="X33" s="167">
        <f>AVERAGE(W33:W41)</f>
        <v>-2416924</v>
      </c>
      <c r="Y33" s="156">
        <f>Y32-K33-L33</f>
        <v>-2407711</v>
      </c>
      <c r="Z33" s="217">
        <f>AVERAGE(Y33:Y41)</f>
        <v>-2416924</v>
      </c>
      <c r="AD33" s="1"/>
      <c r="AE33" s="1"/>
    </row>
    <row r="34" spans="2:31">
      <c r="B34" s="116">
        <v>44579</v>
      </c>
      <c r="C34" s="14" t="str">
        <f t="shared" si="0"/>
        <v/>
      </c>
      <c r="D34" s="87"/>
      <c r="E34" s="87">
        <v>0</v>
      </c>
      <c r="F34" s="23">
        <v>-779576</v>
      </c>
      <c r="G34" s="26">
        <f>D34+E34+F34-E33-F33</f>
        <v>-68310</v>
      </c>
      <c r="H34" s="132">
        <v>300</v>
      </c>
      <c r="I34" s="25">
        <v>14400</v>
      </c>
      <c r="J34" s="25">
        <v>200</v>
      </c>
      <c r="K34" s="170">
        <f t="shared" si="3"/>
        <v>14900</v>
      </c>
      <c r="L34" s="171">
        <v>-32</v>
      </c>
      <c r="M34" s="153"/>
      <c r="N34" s="149">
        <f>L34+K34+G34+M34</f>
        <v>-53442</v>
      </c>
      <c r="O34" s="67">
        <f t="shared" si="1"/>
        <v>3501490.6482142876</v>
      </c>
      <c r="P34" s="7">
        <f t="shared" si="4"/>
        <v>98041738.150000051</v>
      </c>
      <c r="Q34" s="164">
        <f>Q33+N34</f>
        <v>3844878.45</v>
      </c>
      <c r="R34" s="29">
        <f t="shared" si="2"/>
        <v>2435.904810624133</v>
      </c>
      <c r="S34" s="5">
        <f>SUM($Q$7:$Q34)/T34</f>
        <v>3785615.3071428589</v>
      </c>
      <c r="T34" s="18">
        <v>28</v>
      </c>
      <c r="U34" s="138">
        <f>B33+8</f>
        <v>44586</v>
      </c>
      <c r="V34" s="131"/>
      <c r="W34" s="105">
        <v>-2422579</v>
      </c>
      <c r="X34" s="167"/>
      <c r="Y34" s="156">
        <f>Y33-K34-L34</f>
        <v>-2422579</v>
      </c>
      <c r="Z34" s="217"/>
      <c r="AA34" s="92"/>
      <c r="AD34" s="1"/>
      <c r="AE34" s="1"/>
    </row>
    <row r="35" spans="2:31">
      <c r="B35" s="116">
        <v>44580</v>
      </c>
      <c r="C35" s="14" t="str">
        <f t="shared" si="0"/>
        <v/>
      </c>
      <c r="D35" s="87">
        <f>-379+437</f>
        <v>58</v>
      </c>
      <c r="E35" s="87">
        <v>0</v>
      </c>
      <c r="F35" s="23">
        <v>-782145</v>
      </c>
      <c r="G35" s="26">
        <f>D35+E35+F35-E34-F34</f>
        <v>-2511</v>
      </c>
      <c r="H35" s="132">
        <v>-17300</v>
      </c>
      <c r="I35" s="25">
        <v>6500</v>
      </c>
      <c r="J35" s="25">
        <v>100</v>
      </c>
      <c r="K35" s="170">
        <f t="shared" si="3"/>
        <v>-10700</v>
      </c>
      <c r="L35" s="171">
        <v>24</v>
      </c>
      <c r="M35" s="153"/>
      <c r="N35" s="149">
        <f t="shared" si="7"/>
        <v>-13187</v>
      </c>
      <c r="O35" s="67">
        <f t="shared" si="1"/>
        <v>3507517.95172414</v>
      </c>
      <c r="P35" s="7">
        <f t="shared" si="4"/>
        <v>101718020.60000005</v>
      </c>
      <c r="Q35" s="164">
        <f>Q34+N35</f>
        <v>3831691.45</v>
      </c>
      <c r="R35" s="29">
        <f t="shared" si="2"/>
        <v>2436.9271661584426</v>
      </c>
      <c r="S35" s="5">
        <f>SUM($Q$7:$Q35)/T35</f>
        <v>3787204.1396551742</v>
      </c>
      <c r="T35" s="18">
        <v>29</v>
      </c>
      <c r="U35" s="4"/>
      <c r="V35" s="131"/>
      <c r="W35" s="105">
        <v>-2411904</v>
      </c>
      <c r="X35" s="167"/>
      <c r="Y35" s="156">
        <f>Y34-K35-L35-1</f>
        <v>-2411904</v>
      </c>
      <c r="Z35" s="217"/>
      <c r="AA35" s="92"/>
      <c r="AD35" s="1"/>
      <c r="AE35" s="1"/>
    </row>
    <row r="36" spans="2:31">
      <c r="B36" s="116">
        <v>44581</v>
      </c>
      <c r="C36" s="14" t="str">
        <f t="shared" si="0"/>
        <v/>
      </c>
      <c r="D36" s="87"/>
      <c r="E36" s="87">
        <v>0</v>
      </c>
      <c r="F36" s="23">
        <v>-780367</v>
      </c>
      <c r="G36" s="26">
        <f>D36+E36+F36-E35-F35</f>
        <v>1778</v>
      </c>
      <c r="H36" s="132">
        <v>-13300</v>
      </c>
      <c r="I36" s="25">
        <v>16200</v>
      </c>
      <c r="J36" s="25">
        <v>-100</v>
      </c>
      <c r="K36" s="170">
        <f t="shared" si="3"/>
        <v>2800</v>
      </c>
      <c r="L36" s="171">
        <v>26</v>
      </c>
      <c r="M36" s="153"/>
      <c r="N36" s="149">
        <f t="shared" si="7"/>
        <v>4604</v>
      </c>
      <c r="O36" s="67">
        <f t="shared" si="1"/>
        <v>3513296.8350000018</v>
      </c>
      <c r="P36" s="7">
        <f t="shared" si="4"/>
        <v>105398905.05000006</v>
      </c>
      <c r="Q36" s="164">
        <f>Q35+N36-2</f>
        <v>3836293.45</v>
      </c>
      <c r="R36" s="29">
        <f t="shared" si="2"/>
        <v>2437.9646288181521</v>
      </c>
      <c r="S36" s="5">
        <f>SUM($Q$7:$Q36)/T36-24</f>
        <v>3788816.450000002</v>
      </c>
      <c r="T36" s="18">
        <v>30</v>
      </c>
      <c r="U36" s="4"/>
      <c r="V36" s="136"/>
      <c r="W36" s="105">
        <v>-2414727</v>
      </c>
      <c r="X36" s="167"/>
      <c r="Y36" s="156">
        <f>Y35-K36-L36+3</f>
        <v>-2414727</v>
      </c>
      <c r="Z36" s="217"/>
      <c r="AD36" s="1"/>
      <c r="AE36" s="1"/>
    </row>
    <row r="37" spans="2:31">
      <c r="B37" s="116">
        <v>44582</v>
      </c>
      <c r="C37" s="14" t="str">
        <f t="shared" si="0"/>
        <v/>
      </c>
      <c r="D37" s="87"/>
      <c r="E37" s="87">
        <v>0</v>
      </c>
      <c r="F37" s="23">
        <v>-782386</v>
      </c>
      <c r="G37" s="26">
        <f>D37+E37+F37-E36-F36</f>
        <v>-2019</v>
      </c>
      <c r="H37" s="132">
        <v>2000</v>
      </c>
      <c r="I37" s="25">
        <v>2600</v>
      </c>
      <c r="J37" s="25">
        <v>-100</v>
      </c>
      <c r="K37" s="170">
        <f t="shared" si="3"/>
        <v>4500</v>
      </c>
      <c r="L37" s="171">
        <v>-24</v>
      </c>
      <c r="M37" s="153"/>
      <c r="N37" s="149">
        <f t="shared" si="7"/>
        <v>2457</v>
      </c>
      <c r="O37" s="67">
        <f t="shared" si="1"/>
        <v>3518782.0806451631</v>
      </c>
      <c r="P37" s="7">
        <f t="shared" si="4"/>
        <v>109082244.50000006</v>
      </c>
      <c r="Q37" s="164">
        <f>Q36+N37-2</f>
        <v>3838748.45</v>
      </c>
      <c r="R37" s="29">
        <f t="shared" si="2"/>
        <v>2439.0166499262418</v>
      </c>
      <c r="S37" s="5">
        <f>SUM($Q$7:$Q37)/T37+1</f>
        <v>3790451.3854838731</v>
      </c>
      <c r="T37" s="18">
        <v>31</v>
      </c>
      <c r="U37" s="27"/>
      <c r="V37" s="137"/>
      <c r="W37" s="105">
        <v>-2419201</v>
      </c>
      <c r="X37" s="167"/>
      <c r="Y37" s="156">
        <f>Y36-K37-L37+2</f>
        <v>-2419201</v>
      </c>
      <c r="Z37" s="217"/>
      <c r="AA37" s="92"/>
      <c r="AD37" s="1"/>
      <c r="AE37" s="1"/>
    </row>
    <row r="38" spans="2:31">
      <c r="B38" s="116">
        <v>44583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3523924.498437502</v>
      </c>
      <c r="P38" s="7">
        <f t="shared" si="4"/>
        <v>112765583.95000006</v>
      </c>
      <c r="Q38" s="164">
        <f t="shared" si="9"/>
        <v>3838748.45</v>
      </c>
      <c r="R38" s="29">
        <f t="shared" si="2"/>
        <v>2439.9871950787933</v>
      </c>
      <c r="S38" s="5">
        <f>SUM($Q$7:$Q38)/T38</f>
        <v>3791959.700000002</v>
      </c>
      <c r="T38" s="18">
        <v>32</v>
      </c>
      <c r="U38" s="27"/>
      <c r="V38" s="137"/>
      <c r="W38" s="105">
        <v>-2419201</v>
      </c>
      <c r="X38" s="167"/>
      <c r="Y38" s="156">
        <f t="shared" si="6"/>
        <v>-2419201</v>
      </c>
      <c r="Z38" s="217"/>
      <c r="AD38" s="1"/>
      <c r="AE38" s="1"/>
    </row>
    <row r="39" spans="2:31">
      <c r="B39" s="116">
        <v>44584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3528755.2545454567</v>
      </c>
      <c r="P39" s="7">
        <f t="shared" si="4"/>
        <v>116448923.40000007</v>
      </c>
      <c r="Q39" s="164">
        <f t="shared" si="9"/>
        <v>3838748.45</v>
      </c>
      <c r="R39" s="29">
        <f t="shared" si="2"/>
        <v>2440.9008107053596</v>
      </c>
      <c r="S39" s="5">
        <f>SUM($Q$7:$Q39)/T39+2</f>
        <v>3793379.5409090929</v>
      </c>
      <c r="T39" s="18">
        <v>33</v>
      </c>
      <c r="U39" s="27"/>
      <c r="V39" s="137"/>
      <c r="W39" s="105">
        <v>-2419201</v>
      </c>
      <c r="X39" s="167"/>
      <c r="Y39" s="156">
        <f t="shared" si="6"/>
        <v>-2419201</v>
      </c>
      <c r="Z39" s="217"/>
      <c r="AD39" s="1"/>
      <c r="AE39" s="1"/>
    </row>
    <row r="40" spans="2:31">
      <c r="B40" s="116">
        <v>44585</v>
      </c>
      <c r="C40" s="14" t="str">
        <f t="shared" si="0"/>
        <v/>
      </c>
      <c r="D40" s="87"/>
      <c r="E40" s="87">
        <v>0</v>
      </c>
      <c r="F40" s="23">
        <v>-780914</v>
      </c>
      <c r="G40" s="26">
        <f>D40+E40+F40-E37-F37</f>
        <v>1472</v>
      </c>
      <c r="H40" s="132">
        <v>-3300</v>
      </c>
      <c r="I40" s="25">
        <v>3800</v>
      </c>
      <c r="J40" s="25">
        <v>-100</v>
      </c>
      <c r="K40" s="170">
        <f t="shared" si="3"/>
        <v>400</v>
      </c>
      <c r="L40" s="171">
        <v>18</v>
      </c>
      <c r="M40" s="153"/>
      <c r="N40" s="149">
        <f t="shared" si="7"/>
        <v>1890</v>
      </c>
      <c r="O40" s="67">
        <f t="shared" si="1"/>
        <v>3533357.407352943</v>
      </c>
      <c r="P40" s="7">
        <f t="shared" si="4"/>
        <v>120134151.85000007</v>
      </c>
      <c r="Q40" s="164">
        <f>Q39+N40-1</f>
        <v>3840637.45</v>
      </c>
      <c r="R40" s="29">
        <f t="shared" si="2"/>
        <v>2441.7945796159142</v>
      </c>
      <c r="S40" s="5">
        <f>SUM($Q$7:$Q40)/T40+1</f>
        <v>3794768.538235296</v>
      </c>
      <c r="T40" s="18">
        <v>34</v>
      </c>
      <c r="U40" s="138">
        <f>B40</f>
        <v>44585</v>
      </c>
      <c r="V40" s="131">
        <v>2356.4</v>
      </c>
      <c r="W40" s="105">
        <v>-2419618</v>
      </c>
      <c r="X40" s="167">
        <f>AVERAGE(W40:W48)</f>
        <v>-2411416.4444444445</v>
      </c>
      <c r="Y40" s="156">
        <f>Y39-K40-L40+1</f>
        <v>-2419618</v>
      </c>
      <c r="Z40" s="217">
        <f>AVERAGE(Y40:Y48)</f>
        <v>-2411416.6666666665</v>
      </c>
      <c r="AD40" s="1"/>
      <c r="AE40" s="1"/>
    </row>
    <row r="41" spans="2:31">
      <c r="B41" s="116">
        <v>44586</v>
      </c>
      <c r="C41" s="14" t="str">
        <f t="shared" si="0"/>
        <v/>
      </c>
      <c r="D41" s="87"/>
      <c r="E41" s="87">
        <v>0</v>
      </c>
      <c r="F41" s="23">
        <v>-774727</v>
      </c>
      <c r="G41" s="26">
        <f>D41+E41+F41-E40-F40</f>
        <v>6187</v>
      </c>
      <c r="H41" s="132">
        <v>-200</v>
      </c>
      <c r="I41" s="25">
        <v>-1100</v>
      </c>
      <c r="J41" s="25">
        <v>-100</v>
      </c>
      <c r="K41" s="170">
        <f t="shared" si="3"/>
        <v>-1400</v>
      </c>
      <c r="L41" s="171">
        <v>-43</v>
      </c>
      <c r="M41" s="153"/>
      <c r="N41" s="149">
        <f t="shared" si="7"/>
        <v>4744</v>
      </c>
      <c r="O41" s="67">
        <f t="shared" si="1"/>
        <v>3537832.0942857163</v>
      </c>
      <c r="P41" s="7">
        <f t="shared" si="4"/>
        <v>123824123.30000007</v>
      </c>
      <c r="Q41" s="164">
        <f>Q40+N41-1</f>
        <v>3845380.45</v>
      </c>
      <c r="R41" s="29">
        <f t="shared" si="2"/>
        <v>2442.7250811912909</v>
      </c>
      <c r="S41" s="5">
        <f>SUM($Q$7:$Q41)/T41+1</f>
        <v>3796214.6214285735</v>
      </c>
      <c r="T41" s="18">
        <v>35</v>
      </c>
      <c r="U41" s="138">
        <f>B40+8</f>
        <v>44593</v>
      </c>
      <c r="V41" s="137"/>
      <c r="W41" s="105">
        <v>-2418174</v>
      </c>
      <c r="X41" s="167"/>
      <c r="Y41" s="156">
        <f>Y40-K41-L41+1</f>
        <v>-2418174</v>
      </c>
      <c r="Z41" s="217"/>
      <c r="AD41" s="1"/>
      <c r="AE41" s="1"/>
    </row>
    <row r="42" spans="2:31">
      <c r="B42" s="116">
        <v>44587</v>
      </c>
      <c r="C42" s="14" t="str">
        <f t="shared" si="0"/>
        <v/>
      </c>
      <c r="D42" s="87">
        <f>-437+198</f>
        <v>-239</v>
      </c>
      <c r="E42" s="87">
        <v>0</v>
      </c>
      <c r="F42" s="23">
        <v>-777357</v>
      </c>
      <c r="G42" s="26">
        <f t="shared" ref="G42:G44" si="10">D42+E42+F42-E41-F41</f>
        <v>-2869</v>
      </c>
      <c r="H42" s="132">
        <v>300</v>
      </c>
      <c r="I42" s="25">
        <v>-28600</v>
      </c>
      <c r="J42" s="25">
        <v>-100</v>
      </c>
      <c r="K42" s="170">
        <f t="shared" si="3"/>
        <v>-28400</v>
      </c>
      <c r="L42" s="171">
        <v>-45</v>
      </c>
      <c r="M42" s="153"/>
      <c r="N42" s="149">
        <f t="shared" si="7"/>
        <v>-31314</v>
      </c>
      <c r="O42" s="67">
        <f t="shared" si="1"/>
        <v>3541188.5208333354</v>
      </c>
      <c r="P42" s="7">
        <f t="shared" si="4"/>
        <v>127482786.75000007</v>
      </c>
      <c r="Q42" s="164">
        <f>Q41+N42+6</f>
        <v>3814072.45</v>
      </c>
      <c r="R42" s="29">
        <f t="shared" si="2"/>
        <v>2443.0417157307506</v>
      </c>
      <c r="S42" s="5">
        <f>SUM($Q$7:$Q42)/T42-3</f>
        <v>3796706.700000002</v>
      </c>
      <c r="T42" s="18">
        <v>36</v>
      </c>
      <c r="U42" s="27"/>
      <c r="V42" s="137"/>
      <c r="W42" s="105">
        <v>-2389729</v>
      </c>
      <c r="X42" s="167"/>
      <c r="Y42" s="156">
        <f>Y41-K42-L42</f>
        <v>-2389729</v>
      </c>
      <c r="Z42" s="217"/>
      <c r="AD42" s="1"/>
      <c r="AE42" s="1"/>
    </row>
    <row r="43" spans="2:31">
      <c r="B43" s="116">
        <v>44588</v>
      </c>
      <c r="C43" s="14" t="str">
        <f t="shared" si="0"/>
        <v/>
      </c>
      <c r="D43" s="87">
        <f>-40+10</f>
        <v>-30</v>
      </c>
      <c r="E43" s="87">
        <v>0</v>
      </c>
      <c r="F43" s="23">
        <v>-779589</v>
      </c>
      <c r="G43" s="26">
        <f t="shared" si="10"/>
        <v>-2262</v>
      </c>
      <c r="H43" s="132">
        <v>300</v>
      </c>
      <c r="I43" s="25">
        <v>5100</v>
      </c>
      <c r="J43" s="25">
        <v>-100</v>
      </c>
      <c r="K43" s="170">
        <f t="shared" si="3"/>
        <v>5300</v>
      </c>
      <c r="L43" s="171">
        <v>-40</v>
      </c>
      <c r="M43" s="153"/>
      <c r="N43" s="149">
        <f t="shared" si="7"/>
        <v>2998</v>
      </c>
      <c r="O43" s="67">
        <f t="shared" si="1"/>
        <v>3544444.545945948</v>
      </c>
      <c r="P43" s="7">
        <f t="shared" si="4"/>
        <v>131144448.20000008</v>
      </c>
      <c r="Q43" s="164">
        <f>Q42+N43</f>
        <v>3817070.45</v>
      </c>
      <c r="R43" s="29">
        <f t="shared" si="2"/>
        <v>2443.3958075404526</v>
      </c>
      <c r="S43" s="5">
        <f>SUM($Q$7:$Q43)/T43-3</f>
        <v>3797256.9905405422</v>
      </c>
      <c r="T43" s="18">
        <v>37</v>
      </c>
      <c r="U43" s="27"/>
      <c r="V43" s="137"/>
      <c r="W43" s="105">
        <v>-2394989</v>
      </c>
      <c r="X43" s="167"/>
      <c r="Y43" s="156">
        <f>Y42-K43-L43</f>
        <v>-2394989</v>
      </c>
      <c r="Z43" s="217"/>
      <c r="AD43" s="1"/>
      <c r="AE43" s="1"/>
    </row>
    <row r="44" spans="2:31">
      <c r="B44" s="116">
        <v>44589</v>
      </c>
      <c r="C44" s="14" t="str">
        <f t="shared" si="0"/>
        <v/>
      </c>
      <c r="D44" s="87"/>
      <c r="E44" s="87">
        <v>0</v>
      </c>
      <c r="F44" s="23">
        <v>-776826</v>
      </c>
      <c r="G44" s="26">
        <f t="shared" si="10"/>
        <v>2763</v>
      </c>
      <c r="H44" s="132">
        <v>300</v>
      </c>
      <c r="I44" s="25">
        <v>-900</v>
      </c>
      <c r="J44" s="25">
        <v>-200</v>
      </c>
      <c r="K44" s="170">
        <f t="shared" si="3"/>
        <v>-800</v>
      </c>
      <c r="L44" s="171">
        <v>-42</v>
      </c>
      <c r="M44" s="153"/>
      <c r="N44" s="149">
        <f t="shared" si="7"/>
        <v>1921</v>
      </c>
      <c r="O44" s="67">
        <f t="shared" si="1"/>
        <v>3547579.7539473702</v>
      </c>
      <c r="P44" s="7">
        <f t="shared" si="4"/>
        <v>134808030.65000007</v>
      </c>
      <c r="Q44" s="164">
        <f>Q43+N44</f>
        <v>3818991.45</v>
      </c>
      <c r="R44" s="29">
        <f t="shared" si="2"/>
        <v>2443.765722096296</v>
      </c>
      <c r="S44" s="5">
        <f>SUM($Q$7:$Q44)/T44</f>
        <v>3797831.871052633</v>
      </c>
      <c r="T44" s="18">
        <v>38</v>
      </c>
      <c r="U44" s="27"/>
      <c r="V44" s="137"/>
      <c r="W44" s="105">
        <v>-2394153</v>
      </c>
      <c r="X44" s="167"/>
      <c r="Y44" s="156">
        <f>Y43-K44-L44-6</f>
        <v>-2394153</v>
      </c>
      <c r="Z44" s="217"/>
      <c r="AD44" s="1"/>
      <c r="AE44" s="1"/>
    </row>
    <row r="45" spans="2:31">
      <c r="B45" s="116">
        <v>44590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3550554.1820512833</v>
      </c>
      <c r="P45" s="7">
        <f t="shared" si="4"/>
        <v>138471613.10000005</v>
      </c>
      <c r="Q45" s="164">
        <f t="shared" si="9"/>
        <v>3818991.45</v>
      </c>
      <c r="R45" s="29">
        <f t="shared" si="2"/>
        <v>2444.1148352791506</v>
      </c>
      <c r="S45" s="5">
        <f>SUM($Q$7:$Q45)/T45</f>
        <v>3798374.4243589756</v>
      </c>
      <c r="T45" s="18">
        <v>39</v>
      </c>
      <c r="U45" s="27"/>
      <c r="V45" s="137"/>
      <c r="W45" s="105">
        <v>-2394153</v>
      </c>
      <c r="X45" s="167"/>
      <c r="Y45" s="156">
        <f>Y44-K45-L45</f>
        <v>-2394153</v>
      </c>
      <c r="Z45" s="217"/>
      <c r="AD45" s="1"/>
      <c r="AE45" s="1"/>
    </row>
    <row r="46" spans="2:31">
      <c r="B46" s="116">
        <v>44591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3553379.8887500009</v>
      </c>
      <c r="P46" s="7">
        <f t="shared" si="4"/>
        <v>142135195.55000004</v>
      </c>
      <c r="Q46" s="164">
        <f t="shared" si="9"/>
        <v>3818991.45</v>
      </c>
      <c r="R46" s="29">
        <f t="shared" si="2"/>
        <v>2444.4464928028628</v>
      </c>
      <c r="S46" s="5">
        <f>SUM($Q$7:$Q46)/T46</f>
        <v>3798889.8500000006</v>
      </c>
      <c r="T46" s="18">
        <v>40</v>
      </c>
      <c r="U46" s="27"/>
      <c r="V46" s="137"/>
      <c r="W46" s="105">
        <v>-2394153</v>
      </c>
      <c r="X46" s="167"/>
      <c r="Y46" s="156">
        <f>Y45-K46-L46</f>
        <v>-2394153</v>
      </c>
      <c r="Z46" s="217"/>
      <c r="AD46" s="1"/>
      <c r="AE46" s="1"/>
    </row>
    <row r="47" spans="2:31">
      <c r="B47" s="116">
        <v>44592</v>
      </c>
      <c r="C47" s="14" t="str">
        <f t="shared" si="0"/>
        <v/>
      </c>
      <c r="D47" s="87"/>
      <c r="E47" s="87">
        <v>1</v>
      </c>
      <c r="F47" s="23">
        <v>-814033</v>
      </c>
      <c r="G47" s="26">
        <f>D47+E47+F47-E44-F44</f>
        <v>-37206</v>
      </c>
      <c r="H47" s="132">
        <v>300</v>
      </c>
      <c r="I47" s="25">
        <v>32600</v>
      </c>
      <c r="J47" s="25">
        <v>-200</v>
      </c>
      <c r="K47" s="170">
        <f t="shared" si="3"/>
        <v>32700</v>
      </c>
      <c r="L47" s="171">
        <v>18</v>
      </c>
      <c r="M47" s="153"/>
      <c r="N47" s="149">
        <f t="shared" si="7"/>
        <v>-4488</v>
      </c>
      <c r="O47" s="67">
        <f t="shared" si="1"/>
        <v>3555958.2926829276</v>
      </c>
      <c r="P47" s="7">
        <f t="shared" si="4"/>
        <v>145794290.00000003</v>
      </c>
      <c r="Q47" s="164">
        <f>Q46+N47</f>
        <v>3814503.45</v>
      </c>
      <c r="R47" s="29">
        <f t="shared" si="2"/>
        <v>2444.6915362123141</v>
      </c>
      <c r="S47" s="5">
        <f>SUM($Q$7:$Q47)/T47</f>
        <v>3799270.6695121955</v>
      </c>
      <c r="T47" s="18">
        <v>41</v>
      </c>
      <c r="U47" s="138">
        <f>B47</f>
        <v>44592</v>
      </c>
      <c r="V47" s="137">
        <v>2313.1999999999998</v>
      </c>
      <c r="W47" s="105">
        <v>-2426870</v>
      </c>
      <c r="X47" s="167">
        <f>AVERAGE(W47:W55)</f>
        <v>-2477768</v>
      </c>
      <c r="Y47" s="156">
        <f>Y46-K47-L47-1</f>
        <v>-2426872</v>
      </c>
      <c r="Z47" s="217">
        <f>AVERAGE(Y47:Y55)</f>
        <v>-2476657.111111111</v>
      </c>
      <c r="AD47" s="1"/>
      <c r="AE47" s="1"/>
    </row>
    <row r="48" spans="2:31">
      <c r="B48" s="116">
        <v>44593</v>
      </c>
      <c r="C48" s="14" t="str">
        <f t="shared" si="0"/>
        <v/>
      </c>
      <c r="D48" s="87"/>
      <c r="E48" s="87">
        <v>0</v>
      </c>
      <c r="F48" s="23">
        <v>-813911</v>
      </c>
      <c r="G48" s="26">
        <f>D48+E48+F48-E47-F47</f>
        <v>121</v>
      </c>
      <c r="H48" s="132">
        <v>300</v>
      </c>
      <c r="I48" s="25">
        <v>43900</v>
      </c>
      <c r="J48" s="25">
        <v>-200</v>
      </c>
      <c r="K48" s="170">
        <f t="shared" si="3"/>
        <v>44000</v>
      </c>
      <c r="L48" s="171">
        <v>38</v>
      </c>
      <c r="M48" s="153"/>
      <c r="N48" s="149">
        <f t="shared" si="7"/>
        <v>44159</v>
      </c>
      <c r="O48" s="67">
        <f t="shared" si="1"/>
        <v>3559465.3202380957</v>
      </c>
      <c r="P48" s="7">
        <f t="shared" si="4"/>
        <v>149497543.45000002</v>
      </c>
      <c r="Q48" s="164">
        <f>Q47+N48</f>
        <v>3858662.45</v>
      </c>
      <c r="R48" s="29">
        <f t="shared" si="2"/>
        <v>2445.6008078835912</v>
      </c>
      <c r="S48" s="5">
        <f>SUM($Q$7:$Q48)/T48-1</f>
        <v>3800683.7595238099</v>
      </c>
      <c r="T48" s="18">
        <v>42</v>
      </c>
      <c r="U48" s="138">
        <f>B47+8</f>
        <v>44600</v>
      </c>
      <c r="V48" s="137"/>
      <c r="W48" s="105">
        <v>-2470909</v>
      </c>
      <c r="X48" s="167"/>
      <c r="Y48" s="156">
        <f>Y47-K48-L48+1</f>
        <v>-2470909</v>
      </c>
      <c r="Z48" s="217"/>
      <c r="AD48" s="1"/>
      <c r="AE48" s="1"/>
    </row>
    <row r="49" spans="2:31">
      <c r="B49" s="116">
        <v>44594</v>
      </c>
      <c r="C49" s="14" t="str">
        <f t="shared" si="0"/>
        <v/>
      </c>
      <c r="D49" s="87">
        <f>-198+192</f>
        <v>-6</v>
      </c>
      <c r="E49" s="87">
        <v>0</v>
      </c>
      <c r="F49" s="23">
        <v>-816559</v>
      </c>
      <c r="G49" s="26">
        <f t="shared" ref="G49:G55" si="11">D49+E49+F49-E48-F48</f>
        <v>-2654</v>
      </c>
      <c r="H49" s="132">
        <v>300</v>
      </c>
      <c r="I49" s="25">
        <v>3150</v>
      </c>
      <c r="J49" s="25">
        <v>-300</v>
      </c>
      <c r="K49" s="170">
        <f t="shared" si="3"/>
        <v>3150</v>
      </c>
      <c r="L49" s="171">
        <v>-20</v>
      </c>
      <c r="M49" s="153"/>
      <c r="N49" s="149">
        <f t="shared" si="7"/>
        <v>476</v>
      </c>
      <c r="O49" s="67">
        <f t="shared" si="1"/>
        <v>3562820.3000000003</v>
      </c>
      <c r="P49" s="7">
        <f t="shared" si="4"/>
        <v>153201272.90000001</v>
      </c>
      <c r="Q49" s="164">
        <f>Q48+N49</f>
        <v>3859138.45</v>
      </c>
      <c r="R49" s="29">
        <f t="shared" si="2"/>
        <v>2446.4768113007731</v>
      </c>
      <c r="S49" s="5">
        <f>SUM($Q$7:$Q49)/T49+1</f>
        <v>3802045.1476744185</v>
      </c>
      <c r="T49" s="18">
        <v>43</v>
      </c>
      <c r="U49" s="138"/>
      <c r="V49" s="137"/>
      <c r="W49" s="105">
        <v>-2474039</v>
      </c>
      <c r="X49" s="167"/>
      <c r="Y49" s="156">
        <f>Y48-K49-L49</f>
        <v>-2474039</v>
      </c>
      <c r="Z49" s="217"/>
      <c r="AD49" s="1"/>
      <c r="AE49" s="1"/>
    </row>
    <row r="50" spans="2:31">
      <c r="B50" s="116">
        <v>44595</v>
      </c>
      <c r="C50" s="14" t="str">
        <f t="shared" si="0"/>
        <v/>
      </c>
      <c r="D50" s="87"/>
      <c r="E50" s="87">
        <v>0</v>
      </c>
      <c r="F50" s="23">
        <v>-802346</v>
      </c>
      <c r="G50" s="26">
        <f t="shared" si="11"/>
        <v>14213</v>
      </c>
      <c r="H50" s="132">
        <v>300</v>
      </c>
      <c r="I50" s="25">
        <v>5000</v>
      </c>
      <c r="J50" s="25">
        <v>-300</v>
      </c>
      <c r="K50" s="170">
        <f t="shared" si="3"/>
        <v>5000</v>
      </c>
      <c r="L50" s="171">
        <v>-50</v>
      </c>
      <c r="M50" s="153"/>
      <c r="N50" s="149">
        <f t="shared" si="7"/>
        <v>19163</v>
      </c>
      <c r="O50" s="67">
        <f t="shared" si="1"/>
        <v>3566458.3034090907</v>
      </c>
      <c r="P50" s="7">
        <f t="shared" si="4"/>
        <v>156924165.34999999</v>
      </c>
      <c r="Q50" s="164">
        <f>Q49+N50</f>
        <v>3878301.45</v>
      </c>
      <c r="R50" s="29">
        <f t="shared" si="2"/>
        <v>2447.5920108757005</v>
      </c>
      <c r="S50" s="5">
        <f>SUM($Q$7:$Q50)/T50+1</f>
        <v>3803778.2681818176</v>
      </c>
      <c r="T50" s="18">
        <v>44</v>
      </c>
      <c r="U50" s="138"/>
      <c r="V50" s="137"/>
      <c r="W50" s="105">
        <v>-2478989</v>
      </c>
      <c r="X50" s="167"/>
      <c r="Y50" s="156">
        <f>Y49-K50-L50</f>
        <v>-2478989</v>
      </c>
      <c r="Z50" s="217"/>
      <c r="AD50" s="1"/>
      <c r="AE50" s="1"/>
    </row>
    <row r="51" spans="2:31">
      <c r="B51" s="116">
        <v>44596</v>
      </c>
      <c r="C51" s="14" t="str">
        <f t="shared" si="0"/>
        <v/>
      </c>
      <c r="D51" s="87"/>
      <c r="E51" s="87">
        <v>0</v>
      </c>
      <c r="F51" s="23">
        <v>-800706</v>
      </c>
      <c r="G51" s="26">
        <f t="shared" si="11"/>
        <v>1640</v>
      </c>
      <c r="H51" s="132">
        <v>300</v>
      </c>
      <c r="I51" s="25">
        <v>17700</v>
      </c>
      <c r="J51" s="25">
        <v>-300</v>
      </c>
      <c r="K51" s="170">
        <f t="shared" si="3"/>
        <v>17700</v>
      </c>
      <c r="L51" s="171">
        <v>34</v>
      </c>
      <c r="M51" s="153"/>
      <c r="N51" s="149">
        <f>L51+K51+G51+M51</f>
        <v>19374</v>
      </c>
      <c r="O51" s="67">
        <f t="shared" si="1"/>
        <v>3570365.1288888883</v>
      </c>
      <c r="P51" s="7">
        <f t="shared" si="4"/>
        <v>160666430.79999998</v>
      </c>
      <c r="Q51" s="164">
        <f>Q50+N51-1</f>
        <v>3897674.45</v>
      </c>
      <c r="R51" s="29">
        <f t="shared" si="2"/>
        <v>2448.9346641585889</v>
      </c>
      <c r="S51" s="5">
        <f>SUM($Q$7:$Q51)/T51+1</f>
        <v>3805864.8722222215</v>
      </c>
      <c r="T51" s="18">
        <v>45</v>
      </c>
      <c r="U51" s="138"/>
      <c r="V51" s="137"/>
      <c r="W51" s="105">
        <v>-2496723</v>
      </c>
      <c r="X51" s="167"/>
      <c r="Y51" s="156">
        <f>Y50-K51-L51</f>
        <v>-2496723</v>
      </c>
      <c r="Z51" s="217"/>
      <c r="AD51" s="1"/>
      <c r="AE51" s="1"/>
    </row>
    <row r="52" spans="2:31">
      <c r="B52" s="116">
        <v>44597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3574102.0923913037</v>
      </c>
      <c r="P52" s="7">
        <f t="shared" si="4"/>
        <v>164408696.24999997</v>
      </c>
      <c r="Q52" s="164">
        <f t="shared" ref="Q52:Q53" si="12">Q51+N52</f>
        <v>3897674.45</v>
      </c>
      <c r="R52" s="29">
        <f t="shared" si="2"/>
        <v>2450.2189412117859</v>
      </c>
      <c r="S52" s="5">
        <f>SUM($Q$7:$Q52)/T52+1</f>
        <v>3807860.754347825</v>
      </c>
      <c r="T52" s="18">
        <v>46</v>
      </c>
      <c r="U52" s="138"/>
      <c r="V52" s="137"/>
      <c r="W52" s="105">
        <v>-2496723</v>
      </c>
      <c r="X52" s="167"/>
      <c r="Y52" s="156">
        <f>Y51-K52-L52</f>
        <v>-2496723</v>
      </c>
      <c r="Z52" s="217"/>
      <c r="AD52" s="1"/>
      <c r="AE52" s="1"/>
    </row>
    <row r="53" spans="2:31">
      <c r="B53" s="116">
        <v>44598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3577680.0361702121</v>
      </c>
      <c r="P53" s="7">
        <f t="shared" si="4"/>
        <v>168150961.69999996</v>
      </c>
      <c r="Q53" s="164">
        <f t="shared" si="12"/>
        <v>3897674.45</v>
      </c>
      <c r="R53" s="29">
        <f t="shared" si="2"/>
        <v>2451.4466377874824</v>
      </c>
      <c r="S53" s="5">
        <f>SUM($Q$7:$Q53)/T53-2</f>
        <v>3809768.705319148</v>
      </c>
      <c r="T53" s="18">
        <v>47</v>
      </c>
      <c r="U53" s="138"/>
      <c r="V53" s="137"/>
      <c r="W53" s="105">
        <v>-2496723</v>
      </c>
      <c r="X53" s="167"/>
      <c r="Y53" s="156">
        <f>Y52-K53-L53</f>
        <v>-2496723</v>
      </c>
      <c r="Z53" s="217"/>
      <c r="AD53" s="1"/>
      <c r="AE53" s="1"/>
    </row>
    <row r="54" spans="2:31">
      <c r="B54" s="116">
        <v>44599</v>
      </c>
      <c r="C54" s="14" t="str">
        <f t="shared" si="0"/>
        <v/>
      </c>
      <c r="D54" s="87"/>
      <c r="E54" s="87">
        <v>0</v>
      </c>
      <c r="F54" s="23">
        <v>-809038</v>
      </c>
      <c r="G54" s="26">
        <f>D54+E54+F54-E51-F51</f>
        <v>-8332</v>
      </c>
      <c r="H54" s="132">
        <v>300</v>
      </c>
      <c r="I54" s="25">
        <v>-19400</v>
      </c>
      <c r="J54" s="25">
        <v>-300</v>
      </c>
      <c r="K54" s="170">
        <f t="shared" si="3"/>
        <v>-19400</v>
      </c>
      <c r="L54" s="171">
        <v>4</v>
      </c>
      <c r="M54" s="153"/>
      <c r="N54" s="149">
        <f t="shared" si="7"/>
        <v>-27728</v>
      </c>
      <c r="O54" s="67">
        <f t="shared" si="1"/>
        <v>3580531.2947916654</v>
      </c>
      <c r="P54" s="7">
        <f t="shared" si="4"/>
        <v>171865502.14999995</v>
      </c>
      <c r="Q54" s="164">
        <f>Q53+N54+3</f>
        <v>3869949.45</v>
      </c>
      <c r="R54" s="29">
        <f t="shared" si="2"/>
        <v>2452.2552935587159</v>
      </c>
      <c r="S54" s="5">
        <f>SUM($Q$7:$Q54)/T54+1</f>
        <v>3811025.4291666653</v>
      </c>
      <c r="T54" s="18">
        <v>48</v>
      </c>
      <c r="U54" s="138"/>
      <c r="V54" s="137"/>
      <c r="W54" s="105">
        <v>-2477329</v>
      </c>
      <c r="X54" s="167"/>
      <c r="Y54" s="156">
        <f t="shared" ref="Y54:Y55" si="13">Y53-K54-L54-2</f>
        <v>-2477329</v>
      </c>
      <c r="Z54" s="217"/>
      <c r="AD54" s="1"/>
      <c r="AE54" s="1"/>
    </row>
    <row r="55" spans="2:31">
      <c r="B55" s="116">
        <v>44600</v>
      </c>
      <c r="C55" s="14" t="str">
        <f t="shared" si="0"/>
        <v/>
      </c>
      <c r="D55" s="87"/>
      <c r="E55" s="87">
        <v>0</v>
      </c>
      <c r="F55" s="23">
        <v>-808372</v>
      </c>
      <c r="G55" s="26">
        <f t="shared" si="11"/>
        <v>666</v>
      </c>
      <c r="H55" s="132">
        <v>300</v>
      </c>
      <c r="I55" s="25">
        <v>-5700</v>
      </c>
      <c r="J55" s="25">
        <v>-300</v>
      </c>
      <c r="K55" s="170">
        <f t="shared" si="3"/>
        <v>-5700</v>
      </c>
      <c r="L55" s="171">
        <v>-24</v>
      </c>
      <c r="M55" s="153"/>
      <c r="N55" s="149">
        <f t="shared" si="7"/>
        <v>-5058</v>
      </c>
      <c r="O55" s="67">
        <f t="shared" si="1"/>
        <v>3583162.9102040804</v>
      </c>
      <c r="P55" s="7">
        <f t="shared" si="4"/>
        <v>175574982.59999993</v>
      </c>
      <c r="Q55" s="164">
        <f>Q54+N55-2</f>
        <v>3864889.45</v>
      </c>
      <c r="R55" s="29">
        <f t="shared" si="2"/>
        <v>2452.9626439306094</v>
      </c>
      <c r="S55" s="5">
        <f>SUM($Q$7:$Q55)/T55+1</f>
        <v>3812124.7153061209</v>
      </c>
      <c r="T55" s="18">
        <v>49</v>
      </c>
      <c r="U55" s="138"/>
      <c r="V55" s="137"/>
      <c r="W55" s="105">
        <v>-2481607</v>
      </c>
      <c r="X55" s="167"/>
      <c r="Y55" s="156">
        <f t="shared" si="13"/>
        <v>-2471607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'NOV 2021 '!Q55</f>
        <v>3735936.45</v>
      </c>
    </row>
    <row r="60" spans="2:31">
      <c r="D60" s="138" t="s">
        <v>4</v>
      </c>
      <c r="E60" s="139"/>
      <c r="F60" s="143"/>
      <c r="G60" s="91">
        <f>'NOV 2021 '!E55</f>
        <v>0</v>
      </c>
    </row>
    <row r="61" spans="2:31">
      <c r="D61" s="138" t="s">
        <v>60</v>
      </c>
      <c r="E61" s="144"/>
      <c r="F61" s="143"/>
      <c r="G61" s="91">
        <f>'NOV 2021 '!F55</f>
        <v>-738851</v>
      </c>
    </row>
    <row r="62" spans="2:31" ht="12.75" thickBot="1">
      <c r="D62" s="140" t="s">
        <v>46</v>
      </c>
      <c r="E62" s="145"/>
      <c r="F62" s="146"/>
      <c r="G62" s="158">
        <f>'NOV 2021 '!Y55</f>
        <v>-2264979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4955-6408-4B8A-B36F-A8E55E4FEB80}">
  <sheetPr codeName="Sheet30">
    <pageSetUpPr fitToPage="1"/>
  </sheetPr>
  <dimension ref="B1:IU65499"/>
  <sheetViews>
    <sheetView zoomScaleNormal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H40" sqref="H40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153957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44601</v>
      </c>
      <c r="C7" s="196" t="str">
        <f t="shared" ref="C7:C41" si="0">IF(OR(WEEKDAY(B7)=1,WEEKDAY(B7)=7),"F","")</f>
        <v/>
      </c>
      <c r="D7" s="197">
        <f>-192+231</f>
        <v>39</v>
      </c>
      <c r="E7" s="197">
        <v>118</v>
      </c>
      <c r="F7" s="198">
        <v>-611573</v>
      </c>
      <c r="G7" s="199">
        <f>D7+E7+F7-G46-G47</f>
        <v>196956</v>
      </c>
      <c r="H7" s="132">
        <v>300</v>
      </c>
      <c r="I7" s="63">
        <v>13000</v>
      </c>
      <c r="J7" s="63">
        <v>-400</v>
      </c>
      <c r="K7" s="168">
        <f>+H7+I7+J7</f>
        <v>12900</v>
      </c>
      <c r="L7" s="169">
        <v>40</v>
      </c>
      <c r="M7" s="203"/>
      <c r="N7" s="204">
        <f>L7+K7+G7+M7</f>
        <v>209896</v>
      </c>
      <c r="O7" s="205">
        <f t="shared" ref="O7:O41" si="1">P7/T7</f>
        <v>3920832.45</v>
      </c>
      <c r="P7" s="206">
        <f>(+$Q7-$Q$3)</f>
        <v>3920832.45</v>
      </c>
      <c r="Q7" s="207">
        <f>G45+N7+4</f>
        <v>4074789.45</v>
      </c>
      <c r="R7" s="208">
        <f t="shared" ref="R7:R41" si="2">$S7/$Q$3*100</f>
        <v>2646.7061906896083</v>
      </c>
      <c r="S7" s="209">
        <f>$Q7</f>
        <v>4074789.45</v>
      </c>
      <c r="T7" s="210">
        <v>1</v>
      </c>
      <c r="U7" s="211">
        <f>B7</f>
        <v>44601</v>
      </c>
      <c r="V7" s="212">
        <v>2320</v>
      </c>
      <c r="W7" s="213">
        <v>-2484547</v>
      </c>
      <c r="X7" s="214">
        <f>AVERAGE(W7:W11)</f>
        <v>-2477319.6</v>
      </c>
      <c r="Y7" s="215">
        <f>G48-K7-L7</f>
        <v>-2484547</v>
      </c>
      <c r="Z7" s="216">
        <f>AVERAGE(Y7:Y13)</f>
        <v>-2475468.2857142859</v>
      </c>
      <c r="AA7" s="92"/>
    </row>
    <row r="8" spans="2:255">
      <c r="B8" s="116">
        <v>44602</v>
      </c>
      <c r="C8" s="14"/>
      <c r="D8" s="87"/>
      <c r="E8" s="128">
        <v>102</v>
      </c>
      <c r="F8" s="162">
        <v>-597189</v>
      </c>
      <c r="G8" s="26">
        <f>D8+E8+F8-E7-F7</f>
        <v>14368</v>
      </c>
      <c r="H8" s="132">
        <v>300</v>
      </c>
      <c r="I8" s="63">
        <v>-7100</v>
      </c>
      <c r="J8" s="63">
        <v>-400</v>
      </c>
      <c r="K8" s="170">
        <f t="shared" ref="K8:K41" si="3">+H8+I8+J8</f>
        <v>-7200</v>
      </c>
      <c r="L8" s="171">
        <v>0</v>
      </c>
      <c r="M8" s="153"/>
      <c r="N8" s="149">
        <f>L8+K8+G8+M8</f>
        <v>7168</v>
      </c>
      <c r="O8" s="67">
        <f t="shared" si="1"/>
        <v>1964000.2250000001</v>
      </c>
      <c r="P8" s="163">
        <f>(IF($Q8&lt;0,-$Q$3+P6,($Q8-$Q$3)+P6))</f>
        <v>3928000.45</v>
      </c>
      <c r="Q8" s="164">
        <f>Q7+N8</f>
        <v>4081957.45</v>
      </c>
      <c r="R8" s="29">
        <f t="shared" si="2"/>
        <v>2649.0341134212804</v>
      </c>
      <c r="S8" s="165">
        <f>SUM($Q$7:$Q8)/T8</f>
        <v>4078373.45</v>
      </c>
      <c r="T8" s="166">
        <v>2</v>
      </c>
      <c r="U8" s="138">
        <f>B7+6</f>
        <v>44607</v>
      </c>
      <c r="V8" s="131"/>
      <c r="W8" s="105">
        <v>-2477348</v>
      </c>
      <c r="X8" s="167"/>
      <c r="Y8" s="156">
        <f>Y7-K8-L8-1</f>
        <v>-2477348</v>
      </c>
      <c r="Z8" s="217"/>
      <c r="AA8" s="92"/>
    </row>
    <row r="9" spans="2:255">
      <c r="B9" s="116">
        <v>44603</v>
      </c>
      <c r="C9" s="14" t="str">
        <f t="shared" si="0"/>
        <v/>
      </c>
      <c r="D9" s="87"/>
      <c r="E9" s="87">
        <v>66</v>
      </c>
      <c r="F9" s="23">
        <v>-607353</v>
      </c>
      <c r="G9" s="26">
        <f>D9+E9+F9-E8-F8</f>
        <v>-10200</v>
      </c>
      <c r="H9" s="132">
        <v>300</v>
      </c>
      <c r="I9" s="63">
        <v>-2300</v>
      </c>
      <c r="J9" s="63">
        <v>-400</v>
      </c>
      <c r="K9" s="170">
        <f t="shared" si="3"/>
        <v>-2400</v>
      </c>
      <c r="L9" s="171">
        <v>-45</v>
      </c>
      <c r="M9" s="153"/>
      <c r="N9" s="149">
        <f>L9+K9+G9+M9</f>
        <v>-12645</v>
      </c>
      <c r="O9" s="67">
        <f t="shared" si="1"/>
        <v>2612062.3000000003</v>
      </c>
      <c r="P9" s="7">
        <f>(IF($Q9&lt;0,-$Q$3+P7,($Q9-$Q$3)+P7))</f>
        <v>7836186.9000000004</v>
      </c>
      <c r="Q9" s="164">
        <f>Q8+N9-1</f>
        <v>4069311.45</v>
      </c>
      <c r="R9" s="29">
        <f t="shared" si="2"/>
        <v>2647.0727432551516</v>
      </c>
      <c r="S9" s="5">
        <f>SUM($Q$7:$Q9)/T9+1</f>
        <v>4075353.7833333337</v>
      </c>
      <c r="T9" s="17">
        <v>3</v>
      </c>
      <c r="U9" s="4"/>
      <c r="V9" s="131"/>
      <c r="W9" s="105">
        <v>-2474901</v>
      </c>
      <c r="X9" s="167"/>
      <c r="Y9" s="156">
        <f>Y8-K9-L9+2</f>
        <v>-2474901</v>
      </c>
      <c r="Z9" s="217"/>
      <c r="AA9" s="92"/>
    </row>
    <row r="10" spans="2:255">
      <c r="B10" s="116">
        <v>44604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2937885.3375000004</v>
      </c>
      <c r="P10" s="7">
        <f t="shared" ref="P10:P41" si="4">(IF($Q10&lt;0,-$Q$3+P9,($Q10-$Q$3)+P9))</f>
        <v>11751541.350000001</v>
      </c>
      <c r="Q10" s="164">
        <f>Q9+N10</f>
        <v>4069311.45</v>
      </c>
      <c r="R10" s="29">
        <f t="shared" si="2"/>
        <v>2646.0904343420566</v>
      </c>
      <c r="S10" s="5">
        <f>SUM($Q$7:$Q10)/T10-1</f>
        <v>4073841.45</v>
      </c>
      <c r="T10" s="17">
        <v>4</v>
      </c>
      <c r="U10" s="27"/>
      <c r="V10" s="133"/>
      <c r="W10" s="105">
        <v>-2474901</v>
      </c>
      <c r="X10" s="167"/>
      <c r="Y10" s="156">
        <f>Y9-K10-L10</f>
        <v>-2474901</v>
      </c>
      <c r="Z10" s="217"/>
      <c r="AA10" s="92"/>
    </row>
    <row r="11" spans="2:255">
      <c r="B11" s="116">
        <v>44605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3133379.16</v>
      </c>
      <c r="P11" s="7">
        <f t="shared" si="4"/>
        <v>15666895.800000001</v>
      </c>
      <c r="Q11" s="164">
        <f t="shared" ref="Q11:Q18" si="5">Q10+N11</f>
        <v>4069311.45</v>
      </c>
      <c r="R11" s="29">
        <f t="shared" si="2"/>
        <v>2645.5018284326143</v>
      </c>
      <c r="S11" s="5">
        <f>SUM($Q$7:$Q11)/T11-1</f>
        <v>4072935.25</v>
      </c>
      <c r="T11" s="17">
        <v>5</v>
      </c>
      <c r="U11" s="27"/>
      <c r="V11" s="134"/>
      <c r="W11" s="105">
        <v>-2474901</v>
      </c>
      <c r="X11" s="167"/>
      <c r="Y11" s="156">
        <f t="shared" ref="Y11:Y39" si="6">Y10-K11-L11</f>
        <v>-2474901</v>
      </c>
      <c r="Z11" s="217"/>
      <c r="AA11" s="92"/>
    </row>
    <row r="12" spans="2:255">
      <c r="B12" s="116">
        <v>44606</v>
      </c>
      <c r="C12" s="14" t="str">
        <f t="shared" si="0"/>
        <v/>
      </c>
      <c r="D12" s="87"/>
      <c r="E12" s="161">
        <v>157</v>
      </c>
      <c r="F12" s="23">
        <v>-614955</v>
      </c>
      <c r="G12" s="26">
        <f>D12+E12+F12-E9-F9</f>
        <v>-7511</v>
      </c>
      <c r="H12" s="132">
        <v>300</v>
      </c>
      <c r="I12" s="63">
        <v>7700</v>
      </c>
      <c r="J12" s="63">
        <v>-200</v>
      </c>
      <c r="K12" s="170">
        <f t="shared" si="3"/>
        <v>7800</v>
      </c>
      <c r="L12" s="171">
        <v>8</v>
      </c>
      <c r="M12" s="153"/>
      <c r="N12" s="149">
        <f t="shared" ref="N12:N41" si="7">L12+K12+G12+M12</f>
        <v>297</v>
      </c>
      <c r="O12" s="67">
        <f t="shared" si="1"/>
        <v>3263757.875</v>
      </c>
      <c r="P12" s="7">
        <f t="shared" si="4"/>
        <v>19582547.25</v>
      </c>
      <c r="Q12" s="164">
        <f>Q11+N12</f>
        <v>4069608.45</v>
      </c>
      <c r="R12" s="29">
        <f t="shared" si="2"/>
        <v>2645.1409267955773</v>
      </c>
      <c r="S12" s="5">
        <f>SUM($Q$7:$Q12)/T12-2</f>
        <v>4072379.6166666667</v>
      </c>
      <c r="T12" s="17">
        <v>6</v>
      </c>
      <c r="U12" s="138">
        <f>B13</f>
        <v>44607</v>
      </c>
      <c r="V12" s="131">
        <v>2397.1999999999998</v>
      </c>
      <c r="W12" s="105">
        <v>-2482709</v>
      </c>
      <c r="X12" s="167">
        <f>AVERAGE(W12:W20)</f>
        <v>-2439868</v>
      </c>
      <c r="Y12" s="156">
        <f>Y11-K12-L12</f>
        <v>-2482709</v>
      </c>
      <c r="Z12" s="217">
        <f>AVERAGE(Y12:Y20)</f>
        <v>-2439868</v>
      </c>
      <c r="AA12" s="92"/>
    </row>
    <row r="13" spans="2:255">
      <c r="B13" s="116">
        <v>44607</v>
      </c>
      <c r="C13" s="14"/>
      <c r="D13" s="87"/>
      <c r="E13" s="87">
        <v>14</v>
      </c>
      <c r="F13" s="23">
        <v>-664238</v>
      </c>
      <c r="G13" s="26">
        <f>D13+E13+F13-E12-F12</f>
        <v>-49426</v>
      </c>
      <c r="H13" s="132">
        <v>300</v>
      </c>
      <c r="I13" s="63">
        <v>-23800</v>
      </c>
      <c r="J13" s="63">
        <v>-200</v>
      </c>
      <c r="K13" s="170">
        <f t="shared" si="3"/>
        <v>-23700</v>
      </c>
      <c r="L13" s="171">
        <v>-38</v>
      </c>
      <c r="M13" s="153"/>
      <c r="N13" s="149">
        <f t="shared" si="7"/>
        <v>-73164</v>
      </c>
      <c r="O13" s="67">
        <f t="shared" si="1"/>
        <v>3346433.5285714283</v>
      </c>
      <c r="P13" s="7">
        <f>(IF($Q13&lt;0,-$Q$3+P12,($Q13-$Q$3)+P12))</f>
        <v>23425034.699999999</v>
      </c>
      <c r="Q13" s="164">
        <f>Q12+N13</f>
        <v>3996444.45</v>
      </c>
      <c r="R13" s="29">
        <f t="shared" si="2"/>
        <v>2638.0946952720565</v>
      </c>
      <c r="S13" s="5">
        <f>SUM($Q$7:$Q13)/T13-2</f>
        <v>4061531.4499999997</v>
      </c>
      <c r="T13" s="17">
        <v>7</v>
      </c>
      <c r="U13" s="138">
        <f>B14+6</f>
        <v>44614</v>
      </c>
      <c r="V13" s="249"/>
      <c r="W13" s="105">
        <v>-2458971</v>
      </c>
      <c r="X13" s="167"/>
      <c r="Y13" s="156">
        <f t="shared" ref="Y13:Y14" si="8">Y12-K13-L13</f>
        <v>-2458971</v>
      </c>
      <c r="Z13" s="217"/>
      <c r="AA13" s="92"/>
      <c r="AB13" s="92"/>
    </row>
    <row r="14" spans="2:255">
      <c r="B14" s="116">
        <v>44608</v>
      </c>
      <c r="C14" s="14"/>
      <c r="D14" s="87">
        <f>-231+296</f>
        <v>65</v>
      </c>
      <c r="E14" s="87">
        <v>0</v>
      </c>
      <c r="F14" s="23">
        <v>-696656</v>
      </c>
      <c r="G14" s="26">
        <f>D14+E14+F14-E13-F13</f>
        <v>-32367</v>
      </c>
      <c r="H14" s="132">
        <v>2800</v>
      </c>
      <c r="I14" s="63">
        <v>-27400</v>
      </c>
      <c r="J14" s="63">
        <v>-200</v>
      </c>
      <c r="K14" s="170">
        <f t="shared" si="3"/>
        <v>-24800</v>
      </c>
      <c r="L14" s="171">
        <v>35</v>
      </c>
      <c r="M14" s="154"/>
      <c r="N14" s="149">
        <f>L14+K14+G14+M14</f>
        <v>-57132</v>
      </c>
      <c r="O14" s="67">
        <f t="shared" si="1"/>
        <v>3401298.5187499998</v>
      </c>
      <c r="P14" s="7">
        <f t="shared" si="4"/>
        <v>27210388.149999999</v>
      </c>
      <c r="Q14" s="164">
        <f>Q13+N14-2</f>
        <v>3939310.45</v>
      </c>
      <c r="R14" s="29">
        <f t="shared" si="2"/>
        <v>2628.1718759134042</v>
      </c>
      <c r="S14" s="5">
        <f>SUM($Q$7:$Q14)/T14-1</f>
        <v>4046254.5749999997</v>
      </c>
      <c r="T14" s="17">
        <v>8</v>
      </c>
      <c r="U14" s="4"/>
      <c r="V14" s="4"/>
      <c r="W14" s="105">
        <v>-2434206</v>
      </c>
      <c r="X14" s="167"/>
      <c r="Y14" s="156">
        <f t="shared" si="8"/>
        <v>-2434206</v>
      </c>
      <c r="Z14" s="217"/>
      <c r="AA14" s="92"/>
    </row>
    <row r="15" spans="2:255">
      <c r="B15" s="116">
        <v>44609</v>
      </c>
      <c r="C15" s="14" t="str">
        <f t="shared" si="0"/>
        <v/>
      </c>
      <c r="D15" s="87"/>
      <c r="E15" s="87">
        <v>9</v>
      </c>
      <c r="F15" s="23">
        <v>-696849</v>
      </c>
      <c r="G15" s="26">
        <f>D15+E15+F15-E14-F14</f>
        <v>-184</v>
      </c>
      <c r="H15" s="132">
        <v>-700</v>
      </c>
      <c r="I15" s="63">
        <v>9050</v>
      </c>
      <c r="J15" s="63">
        <v>-300</v>
      </c>
      <c r="K15" s="170">
        <f t="shared" si="3"/>
        <v>8050</v>
      </c>
      <c r="L15" s="172">
        <v>6</v>
      </c>
      <c r="M15" s="153"/>
      <c r="N15" s="149">
        <f>L15+K15+G15+M15</f>
        <v>7872</v>
      </c>
      <c r="O15" s="67">
        <f t="shared" si="1"/>
        <v>3444846.0666666664</v>
      </c>
      <c r="P15" s="7">
        <f t="shared" si="4"/>
        <v>31003614.599999998</v>
      </c>
      <c r="Q15" s="164">
        <f>Q14+N15+1</f>
        <v>3947183.45</v>
      </c>
      <c r="R15" s="29">
        <f t="shared" si="2"/>
        <v>2621.0224680340034</v>
      </c>
      <c r="S15" s="5">
        <f>SUM($Q$7:$Q15)/T15</f>
        <v>4035247.5611111107</v>
      </c>
      <c r="T15" s="17">
        <v>9</v>
      </c>
      <c r="U15" s="4"/>
      <c r="V15" s="4"/>
      <c r="W15" s="105">
        <v>-2442262</v>
      </c>
      <c r="X15" s="167"/>
      <c r="Y15" s="156">
        <f>Y14-K15-L15</f>
        <v>-2442262</v>
      </c>
      <c r="Z15" s="217"/>
      <c r="AA15" s="92"/>
      <c r="AB15" s="92"/>
    </row>
    <row r="16" spans="2:255" s="69" customFormat="1">
      <c r="B16" s="116">
        <v>44610</v>
      </c>
      <c r="C16" s="14"/>
      <c r="D16" s="129"/>
      <c r="E16" s="87">
        <v>0</v>
      </c>
      <c r="F16" s="23">
        <v>-757894</v>
      </c>
      <c r="G16" s="26">
        <f>D16+E16+F16-E15-F15</f>
        <v>-61054</v>
      </c>
      <c r="H16" s="132">
        <v>-14100</v>
      </c>
      <c r="I16" s="63">
        <v>4900</v>
      </c>
      <c r="J16" s="63">
        <v>-300</v>
      </c>
      <c r="K16" s="170">
        <f t="shared" si="3"/>
        <v>-9500</v>
      </c>
      <c r="L16" s="172">
        <v>-43</v>
      </c>
      <c r="M16" s="153"/>
      <c r="N16" s="152">
        <f>L16+K16+G16+M16</f>
        <v>-70597</v>
      </c>
      <c r="O16" s="67">
        <f t="shared" si="1"/>
        <v>3472624.6049999995</v>
      </c>
      <c r="P16" s="70">
        <f t="shared" si="4"/>
        <v>34726246.049999997</v>
      </c>
      <c r="Q16" s="164">
        <f>Q15+N16+2</f>
        <v>3876588.45</v>
      </c>
      <c r="R16" s="71">
        <f t="shared" si="2"/>
        <v>2610.7170508648519</v>
      </c>
      <c r="S16" s="72">
        <f>SUM($Q$7:$Q16)/T16</f>
        <v>4019381.65</v>
      </c>
      <c r="T16" s="73">
        <v>10</v>
      </c>
      <c r="U16" s="218"/>
      <c r="V16" s="133"/>
      <c r="W16" s="105">
        <v>-2432720</v>
      </c>
      <c r="X16" s="167"/>
      <c r="Y16" s="156">
        <f>Y15-K16-L16-1</f>
        <v>-2432720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44611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3495352.5</v>
      </c>
      <c r="P17" s="7">
        <f t="shared" si="4"/>
        <v>38448877.5</v>
      </c>
      <c r="Q17" s="164">
        <f t="shared" si="5"/>
        <v>3876588.45</v>
      </c>
      <c r="R17" s="29">
        <f t="shared" si="2"/>
        <v>2602.285345908273</v>
      </c>
      <c r="S17" s="5">
        <f>SUM($Q$7:$Q17)/T17</f>
        <v>4006400.45</v>
      </c>
      <c r="T17" s="18">
        <v>11</v>
      </c>
      <c r="U17" s="27"/>
      <c r="V17" s="136"/>
      <c r="W17" s="105">
        <v>-2432720</v>
      </c>
      <c r="X17" s="167"/>
      <c r="Y17" s="156">
        <f t="shared" si="6"/>
        <v>-2432720</v>
      </c>
      <c r="Z17" s="217"/>
      <c r="AA17" s="92"/>
      <c r="AC17" s="92"/>
    </row>
    <row r="18" spans="2:31">
      <c r="B18" s="116">
        <v>44612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3514292.4125000001</v>
      </c>
      <c r="P18" s="7">
        <f t="shared" si="4"/>
        <v>42171508.950000003</v>
      </c>
      <c r="Q18" s="164">
        <f t="shared" si="5"/>
        <v>3876588.45</v>
      </c>
      <c r="R18" s="29">
        <f t="shared" si="2"/>
        <v>2595.2582755791118</v>
      </c>
      <c r="S18" s="5">
        <f>SUM($Q$7:$Q18)/T18-1</f>
        <v>3995581.7833333337</v>
      </c>
      <c r="T18" s="18">
        <v>12</v>
      </c>
      <c r="U18" s="27"/>
      <c r="V18" s="136"/>
      <c r="W18" s="105">
        <v>-2432720</v>
      </c>
      <c r="X18" s="167"/>
      <c r="Y18" s="156">
        <f t="shared" si="6"/>
        <v>-2432720</v>
      </c>
      <c r="Z18" s="217"/>
      <c r="AA18" s="92"/>
    </row>
    <row r="19" spans="2:31">
      <c r="B19" s="116">
        <v>44613</v>
      </c>
      <c r="C19" s="14" t="str">
        <f t="shared" si="0"/>
        <v/>
      </c>
      <c r="D19" s="87"/>
      <c r="E19" s="87">
        <v>1</v>
      </c>
      <c r="F19" s="23">
        <v>-756052</v>
      </c>
      <c r="G19" s="26">
        <f>D19+E19+F19-E16-F16</f>
        <v>1843</v>
      </c>
      <c r="H19" s="132">
        <v>-12100</v>
      </c>
      <c r="I19" s="63">
        <v>3000</v>
      </c>
      <c r="J19" s="63">
        <v>-600</v>
      </c>
      <c r="K19" s="170">
        <f t="shared" si="3"/>
        <v>-9700</v>
      </c>
      <c r="L19" s="171">
        <v>45</v>
      </c>
      <c r="M19" s="153"/>
      <c r="N19" s="149">
        <f t="shared" si="7"/>
        <v>-7812</v>
      </c>
      <c r="O19" s="67">
        <f t="shared" si="1"/>
        <v>3529717.4923076928</v>
      </c>
      <c r="P19" s="7">
        <f t="shared" si="4"/>
        <v>45886327.400000006</v>
      </c>
      <c r="Q19" s="164">
        <f>Q18+N19-1</f>
        <v>3868775.45</v>
      </c>
      <c r="R19" s="29">
        <f t="shared" si="2"/>
        <v>2588.923123389598</v>
      </c>
      <c r="S19" s="5">
        <f>SUM($Q$7:$Q19)/T19</f>
        <v>3985828.3730769237</v>
      </c>
      <c r="T19" s="18">
        <v>13</v>
      </c>
      <c r="U19" s="138">
        <f>B19</f>
        <v>44613</v>
      </c>
      <c r="V19" s="131">
        <v>2371.1999999999998</v>
      </c>
      <c r="W19" s="105">
        <v>-2423065</v>
      </c>
      <c r="X19" s="167">
        <f>AVERAGE(W20:W27)</f>
        <v>-2436797</v>
      </c>
      <c r="Y19" s="156">
        <f>Y18-K19-L19</f>
        <v>-2423065</v>
      </c>
      <c r="Z19" s="217">
        <f>AVERAGE(Y20:Y27)</f>
        <v>-2436797</v>
      </c>
      <c r="AA19" s="92"/>
      <c r="AD19" s="309"/>
    </row>
    <row r="20" spans="2:31">
      <c r="B20" s="116">
        <v>44614</v>
      </c>
      <c r="C20" s="14"/>
      <c r="D20" s="87"/>
      <c r="E20" s="87">
        <v>1</v>
      </c>
      <c r="F20" s="23">
        <v>-761644</v>
      </c>
      <c r="G20" s="26">
        <f>D20+E20+F20-E19-F19</f>
        <v>-5592</v>
      </c>
      <c r="H20" s="132">
        <v>-200</v>
      </c>
      <c r="I20" s="63">
        <v>-2800</v>
      </c>
      <c r="J20" s="63">
        <v>-600</v>
      </c>
      <c r="K20" s="170">
        <f t="shared" si="3"/>
        <v>-3600</v>
      </c>
      <c r="L20" s="171">
        <v>-26</v>
      </c>
      <c r="M20" s="153"/>
      <c r="N20" s="149">
        <f t="shared" si="7"/>
        <v>-9218</v>
      </c>
      <c r="O20" s="67">
        <f t="shared" si="1"/>
        <v>3542280.6321428576</v>
      </c>
      <c r="P20" s="7">
        <f t="shared" si="4"/>
        <v>49591928.850000009</v>
      </c>
      <c r="Q20" s="164">
        <f>Q19+N20+1</f>
        <v>3859558.45</v>
      </c>
      <c r="R20" s="29">
        <f t="shared" si="2"/>
        <v>2583.0641626279698</v>
      </c>
      <c r="S20" s="5">
        <f>SUM($Q$7:$Q20)/T20-1</f>
        <v>3976808.0928571438</v>
      </c>
      <c r="T20" s="18">
        <v>14</v>
      </c>
      <c r="U20" s="138">
        <f>B19+8</f>
        <v>44621</v>
      </c>
      <c r="V20" s="131"/>
      <c r="W20" s="105">
        <v>-2419439</v>
      </c>
      <c r="X20" s="167"/>
      <c r="Y20" s="156">
        <f>Y19-K20-L20</f>
        <v>-2419439</v>
      </c>
      <c r="Z20" s="217"/>
      <c r="AA20" s="92"/>
      <c r="AB20" s="92"/>
    </row>
    <row r="21" spans="2:31">
      <c r="B21" s="116">
        <v>44615</v>
      </c>
      <c r="C21" s="14" t="str">
        <f t="shared" si="0"/>
        <v/>
      </c>
      <c r="D21" s="87">
        <f>-296+436</f>
        <v>140</v>
      </c>
      <c r="E21" s="87">
        <v>151</v>
      </c>
      <c r="F21" s="23">
        <v>-769029</v>
      </c>
      <c r="G21" s="26">
        <f>D21+E21+F21-E20-F20</f>
        <v>-7095</v>
      </c>
      <c r="H21" s="132">
        <v>100</v>
      </c>
      <c r="I21" s="63">
        <v>10500</v>
      </c>
      <c r="J21" s="63">
        <v>-600</v>
      </c>
      <c r="K21" s="170">
        <f t="shared" si="3"/>
        <v>10000</v>
      </c>
      <c r="L21" s="171">
        <v>-49</v>
      </c>
      <c r="M21" s="153"/>
      <c r="N21" s="149">
        <f>L21+K21+G21+M21</f>
        <v>2856</v>
      </c>
      <c r="O21" s="67">
        <f t="shared" si="1"/>
        <v>3553450.353333334</v>
      </c>
      <c r="P21" s="7">
        <f t="shared" si="4"/>
        <v>53301755.300000012</v>
      </c>
      <c r="Q21" s="164">
        <f>Q20+N21+1369</f>
        <v>3863783.45</v>
      </c>
      <c r="R21" s="29">
        <f t="shared" si="2"/>
        <v>2578.1712101430926</v>
      </c>
      <c r="S21" s="5">
        <f>SUM($Q$7:$Q21)/T21+1</f>
        <v>3969275.0500000012</v>
      </c>
      <c r="T21" s="18">
        <v>15</v>
      </c>
      <c r="U21" s="4"/>
      <c r="V21" s="131"/>
      <c r="W21" s="105">
        <v>-2429390</v>
      </c>
      <c r="X21" s="167"/>
      <c r="Y21" s="156">
        <f>Y20-K21-L21</f>
        <v>-2429390</v>
      </c>
      <c r="Z21" s="217"/>
      <c r="AA21" s="92"/>
    </row>
    <row r="22" spans="2:31">
      <c r="B22" s="116">
        <v>44616</v>
      </c>
      <c r="C22" s="14" t="str">
        <f t="shared" si="0"/>
        <v/>
      </c>
      <c r="D22" s="87">
        <f>-10+23</f>
        <v>13</v>
      </c>
      <c r="E22" s="87">
        <v>122</v>
      </c>
      <c r="F22" s="23">
        <v>-760953</v>
      </c>
      <c r="G22" s="26">
        <f>D22+E22+F22-E21-F21</f>
        <v>8060</v>
      </c>
      <c r="H22" s="132">
        <v>300</v>
      </c>
      <c r="I22" s="63">
        <v>-9000</v>
      </c>
      <c r="J22" s="63">
        <v>-600</v>
      </c>
      <c r="K22" s="170">
        <f t="shared" si="3"/>
        <v>-9300</v>
      </c>
      <c r="L22" s="171">
        <v>-1</v>
      </c>
      <c r="M22" s="153"/>
      <c r="N22" s="149">
        <f>L22+K22+G22+M22</f>
        <v>-1241</v>
      </c>
      <c r="O22" s="67">
        <f t="shared" si="1"/>
        <v>3563060.7343750009</v>
      </c>
      <c r="P22" s="7">
        <f t="shared" si="4"/>
        <v>57008971.750000015</v>
      </c>
      <c r="Q22" s="164">
        <f>Q21+N22-1369</f>
        <v>3861173.45</v>
      </c>
      <c r="R22" s="29">
        <f t="shared" si="2"/>
        <v>2573.7814860642911</v>
      </c>
      <c r="S22" s="5">
        <f>SUM($Q$7:$Q22)/T22-1</f>
        <v>3962516.7625000011</v>
      </c>
      <c r="T22" s="18">
        <v>16</v>
      </c>
      <c r="U22" s="4"/>
      <c r="V22" s="131"/>
      <c r="W22" s="105">
        <v>-2420089</v>
      </c>
      <c r="X22" s="167"/>
      <c r="Y22" s="156">
        <f>Y21-K22-L22</f>
        <v>-2420089</v>
      </c>
      <c r="Z22" s="217"/>
      <c r="AA22" s="92"/>
    </row>
    <row r="23" spans="2:31">
      <c r="B23" s="116">
        <v>44617</v>
      </c>
      <c r="C23" s="14"/>
      <c r="D23" s="87"/>
      <c r="E23" s="87">
        <v>0</v>
      </c>
      <c r="F23" s="23">
        <v>-758957</v>
      </c>
      <c r="G23" s="26">
        <f>D23+E23+F23-E22-F22</f>
        <v>1874</v>
      </c>
      <c r="H23" s="132">
        <v>300</v>
      </c>
      <c r="I23" s="63">
        <v>12700</v>
      </c>
      <c r="J23" s="63">
        <v>-600</v>
      </c>
      <c r="K23" s="170">
        <f t="shared" si="3"/>
        <v>12400</v>
      </c>
      <c r="L23" s="171">
        <v>9</v>
      </c>
      <c r="M23" s="153"/>
      <c r="N23" s="149">
        <f>L23+K23+G23+M23</f>
        <v>14283</v>
      </c>
      <c r="O23" s="67">
        <f t="shared" si="1"/>
        <v>3572380.6588235307</v>
      </c>
      <c r="P23" s="7">
        <f t="shared" si="4"/>
        <v>60730471.200000018</v>
      </c>
      <c r="Q23" s="164">
        <f>Q22+N23</f>
        <v>3875456.45</v>
      </c>
      <c r="R23" s="29">
        <f t="shared" si="2"/>
        <v>2570.4557173909147</v>
      </c>
      <c r="S23" s="5">
        <f>SUM($Q$7:$Q23)/T23</f>
        <v>3957396.5088235307</v>
      </c>
      <c r="T23" s="18">
        <v>17</v>
      </c>
      <c r="U23" s="27"/>
      <c r="V23" s="135"/>
      <c r="W23" s="105">
        <v>-2432498</v>
      </c>
      <c r="X23" s="167"/>
      <c r="Y23" s="156">
        <f>Y22-K23-L23</f>
        <v>-2432498</v>
      </c>
      <c r="Z23" s="217"/>
      <c r="AA23" s="92"/>
    </row>
    <row r="24" spans="2:31">
      <c r="B24" s="116">
        <v>44618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3580665.0361111122</v>
      </c>
      <c r="P24" s="7">
        <f t="shared" si="4"/>
        <v>64451970.650000021</v>
      </c>
      <c r="Q24" s="164">
        <f>Q23+N24</f>
        <v>3875456.45</v>
      </c>
      <c r="R24" s="29">
        <f t="shared" si="2"/>
        <v>2567.498901208347</v>
      </c>
      <c r="S24" s="5">
        <f>SUM($Q$7:$Q24)/T24</f>
        <v>3952844.2833333346</v>
      </c>
      <c r="T24" s="18">
        <v>18</v>
      </c>
      <c r="U24" s="4"/>
      <c r="V24" s="135"/>
      <c r="W24" s="105">
        <v>-2432498</v>
      </c>
      <c r="X24" s="167"/>
      <c r="Y24" s="156">
        <f t="shared" si="6"/>
        <v>-2432498</v>
      </c>
      <c r="Z24" s="217"/>
      <c r="AA24" s="92"/>
      <c r="AD24" s="1"/>
      <c r="AE24" s="1"/>
    </row>
    <row r="25" spans="2:31">
      <c r="B25" s="116">
        <v>44619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3588077.3736842116</v>
      </c>
      <c r="P25" s="7">
        <f t="shared" si="4"/>
        <v>68173470.100000024</v>
      </c>
      <c r="Q25" s="164">
        <f>Q24+N25</f>
        <v>3875456.45</v>
      </c>
      <c r="R25" s="29">
        <f t="shared" si="2"/>
        <v>2564.8526793024585</v>
      </c>
      <c r="S25" s="5">
        <f>SUM($Q$7:$Q25)/T25-1</f>
        <v>3948770.2394736856</v>
      </c>
      <c r="T25" s="18">
        <v>19</v>
      </c>
      <c r="U25" s="4"/>
      <c r="V25" s="131">
        <v>2351.8000000000002</v>
      </c>
      <c r="W25" s="105">
        <v>-2432498</v>
      </c>
      <c r="X25" s="167"/>
      <c r="Y25" s="156">
        <f t="shared" si="6"/>
        <v>-2432498</v>
      </c>
      <c r="Z25" s="217"/>
      <c r="AA25" s="92"/>
      <c r="AD25" s="1"/>
      <c r="AE25" s="1"/>
    </row>
    <row r="26" spans="2:31">
      <c r="B26" s="116">
        <v>44620</v>
      </c>
      <c r="C26" s="14"/>
      <c r="D26" s="87"/>
      <c r="E26" s="87">
        <v>0</v>
      </c>
      <c r="F26" s="23">
        <v>-796252</v>
      </c>
      <c r="G26" s="26">
        <f>D26+E26+F26-E23-F23</f>
        <v>-37295</v>
      </c>
      <c r="H26" s="132">
        <v>300</v>
      </c>
      <c r="I26" s="63">
        <v>14100</v>
      </c>
      <c r="J26" s="63">
        <v>-1900</v>
      </c>
      <c r="K26" s="170">
        <f t="shared" si="3"/>
        <v>12500</v>
      </c>
      <c r="L26" s="171">
        <v>48</v>
      </c>
      <c r="M26" s="153"/>
      <c r="N26" s="149">
        <f t="shared" si="7"/>
        <v>-24747</v>
      </c>
      <c r="O26" s="67">
        <f t="shared" si="1"/>
        <v>3593511.1275000013</v>
      </c>
      <c r="P26" s="7">
        <f t="shared" si="4"/>
        <v>71870222.550000027</v>
      </c>
      <c r="Q26" s="164">
        <f>Q25+N26</f>
        <v>3850709.45</v>
      </c>
      <c r="R26" s="29">
        <f t="shared" si="2"/>
        <v>2561.6679657306918</v>
      </c>
      <c r="S26" s="5">
        <f>SUM($Q$7:$Q26)/T26-1</f>
        <v>3943867.1500000013</v>
      </c>
      <c r="T26" s="18">
        <v>20</v>
      </c>
      <c r="U26" s="138">
        <f>B26</f>
        <v>44620</v>
      </c>
      <c r="V26" s="131"/>
      <c r="W26" s="105">
        <v>-2445046</v>
      </c>
      <c r="X26" s="167">
        <f>AVERAGE(W26:W34)</f>
        <v>-2447452.3333333335</v>
      </c>
      <c r="Y26" s="156">
        <f>Y25-K26-L26</f>
        <v>-2445046</v>
      </c>
      <c r="Z26" s="217">
        <f>AVERAGE(Y26:Y34)</f>
        <v>-2447452.3333333335</v>
      </c>
      <c r="AC26" s="92"/>
      <c r="AD26" s="1"/>
      <c r="AE26" s="1"/>
    </row>
    <row r="27" spans="2:31">
      <c r="B27" s="116">
        <v>44621</v>
      </c>
      <c r="C27" s="14" t="str">
        <f t="shared" si="0"/>
        <v/>
      </c>
      <c r="D27" s="87"/>
      <c r="E27" s="87">
        <v>0</v>
      </c>
      <c r="F27" s="23">
        <v>-793319</v>
      </c>
      <c r="G27" s="26">
        <f>D27+E27+F27-E26-F26</f>
        <v>2933</v>
      </c>
      <c r="H27" s="132">
        <v>12300</v>
      </c>
      <c r="I27" s="63">
        <v>27500</v>
      </c>
      <c r="J27" s="63">
        <v>-1900</v>
      </c>
      <c r="K27" s="170">
        <f t="shared" si="3"/>
        <v>37900</v>
      </c>
      <c r="L27" s="171">
        <v>-29</v>
      </c>
      <c r="M27" s="153"/>
      <c r="N27" s="149">
        <f>L27+K27+G27+M27</f>
        <v>40804</v>
      </c>
      <c r="O27" s="67">
        <f t="shared" si="1"/>
        <v>3600370.4761904776</v>
      </c>
      <c r="P27" s="7">
        <f t="shared" si="4"/>
        <v>75607780.00000003</v>
      </c>
      <c r="Q27" s="164">
        <f>Q26+N27+1</f>
        <v>3891514.45</v>
      </c>
      <c r="R27" s="29">
        <f t="shared" si="2"/>
        <v>2560.0486607732469</v>
      </c>
      <c r="S27" s="5">
        <f>SUM($Q$7:$Q27)/T27-1</f>
        <v>3941374.1166666681</v>
      </c>
      <c r="T27" s="18">
        <v>21</v>
      </c>
      <c r="U27" s="138">
        <f>B28+6</f>
        <v>44628</v>
      </c>
      <c r="V27" s="159"/>
      <c r="W27" s="105">
        <v>-2482918</v>
      </c>
      <c r="X27" s="167"/>
      <c r="Y27" s="156">
        <f>Y26-K27-L27-1</f>
        <v>-2482918</v>
      </c>
      <c r="Z27" s="217"/>
      <c r="AA27" s="92"/>
      <c r="AD27" s="1"/>
      <c r="AE27" s="1"/>
    </row>
    <row r="28" spans="2:31">
      <c r="B28" s="116">
        <v>44622</v>
      </c>
      <c r="C28" s="14" t="str">
        <f t="shared" si="0"/>
        <v/>
      </c>
      <c r="D28" s="87">
        <f>-436+163</f>
        <v>-273</v>
      </c>
      <c r="E28" s="87">
        <v>74</v>
      </c>
      <c r="F28" s="23">
        <v>-800457</v>
      </c>
      <c r="G28" s="26">
        <f>D28+E28+F28-E27-F27</f>
        <v>-7337</v>
      </c>
      <c r="H28" s="132">
        <v>300</v>
      </c>
      <c r="I28" s="63">
        <v>-34500</v>
      </c>
      <c r="J28" s="63">
        <v>-1900</v>
      </c>
      <c r="K28" s="170">
        <f t="shared" si="3"/>
        <v>-36100</v>
      </c>
      <c r="L28" s="171">
        <v>30</v>
      </c>
      <c r="M28" s="153"/>
      <c r="N28" s="149">
        <f>L28+K28+G28+M28</f>
        <v>-43407</v>
      </c>
      <c r="O28" s="67">
        <f t="shared" si="1"/>
        <v>3604618.2477272744</v>
      </c>
      <c r="P28" s="7">
        <f t="shared" si="4"/>
        <v>79301601.450000033</v>
      </c>
      <c r="Q28" s="164">
        <f>Q27+N28+1-330</f>
        <v>3847778.45</v>
      </c>
      <c r="R28" s="29">
        <f t="shared" si="2"/>
        <v>2557.285295717164</v>
      </c>
      <c r="S28" s="5">
        <f>SUM($Q$7:$Q28)/T28-1</f>
        <v>3937119.7227272745</v>
      </c>
      <c r="T28" s="18">
        <v>22</v>
      </c>
      <c r="U28" s="4"/>
      <c r="V28" s="131"/>
      <c r="W28" s="105">
        <v>-2446848</v>
      </c>
      <c r="X28" s="167"/>
      <c r="Y28" s="156">
        <f>Y27-K28-L28</f>
        <v>-2446848</v>
      </c>
      <c r="Z28" s="217"/>
      <c r="AA28" s="92"/>
      <c r="AD28" s="1"/>
      <c r="AE28" s="1"/>
    </row>
    <row r="29" spans="2:31">
      <c r="B29" s="116">
        <v>44623</v>
      </c>
      <c r="C29" s="14" t="str">
        <f t="shared" si="0"/>
        <v/>
      </c>
      <c r="D29" s="87"/>
      <c r="E29" s="87">
        <v>60</v>
      </c>
      <c r="F29" s="23">
        <v>-798659</v>
      </c>
      <c r="G29" s="26">
        <f>D29+E29+F29-E28-F28</f>
        <v>1784</v>
      </c>
      <c r="H29" s="132">
        <v>300</v>
      </c>
      <c r="I29" s="63">
        <v>-100</v>
      </c>
      <c r="J29" s="63">
        <v>-1900</v>
      </c>
      <c r="K29" s="170">
        <f t="shared" si="3"/>
        <v>-1700</v>
      </c>
      <c r="L29" s="171">
        <v>-25</v>
      </c>
      <c r="M29" s="153"/>
      <c r="N29" s="149">
        <f>L29+K29+G29+M29</f>
        <v>59</v>
      </c>
      <c r="O29" s="67">
        <f t="shared" si="1"/>
        <v>3608499.3000000017</v>
      </c>
      <c r="P29" s="7">
        <f t="shared" si="4"/>
        <v>82995483.900000036</v>
      </c>
      <c r="Q29" s="164">
        <f>Q28+N29+2</f>
        <v>3847839.45</v>
      </c>
      <c r="R29" s="29">
        <f t="shared" si="2"/>
        <v>2554.7639459465117</v>
      </c>
      <c r="S29" s="5">
        <f>SUM($Q$7:$Q29)/T29-1</f>
        <v>3933237.9282608712</v>
      </c>
      <c r="T29" s="18">
        <v>23</v>
      </c>
      <c r="U29" s="4"/>
      <c r="V29" s="131"/>
      <c r="W29" s="105">
        <v>-2445125</v>
      </c>
      <c r="X29" s="167"/>
      <c r="Y29" s="156">
        <f>Y28-K29-L29-2</f>
        <v>-2445125</v>
      </c>
      <c r="Z29" s="217"/>
      <c r="AA29" s="92"/>
      <c r="AD29" s="1"/>
      <c r="AE29" s="1"/>
    </row>
    <row r="30" spans="2:31">
      <c r="B30" s="116">
        <v>44624</v>
      </c>
      <c r="C30" s="14" t="str">
        <f t="shared" si="0"/>
        <v/>
      </c>
      <c r="D30" s="87"/>
      <c r="E30" s="87">
        <v>0</v>
      </c>
      <c r="F30" s="23">
        <v>-798641</v>
      </c>
      <c r="G30" s="26">
        <f>D30+E30+F30-E29-F29</f>
        <v>-42</v>
      </c>
      <c r="H30" s="132">
        <v>300</v>
      </c>
      <c r="I30" s="25">
        <v>9900</v>
      </c>
      <c r="J30" s="25">
        <v>-2100</v>
      </c>
      <c r="K30" s="170">
        <f t="shared" si="3"/>
        <v>8100</v>
      </c>
      <c r="L30" s="171">
        <v>-35</v>
      </c>
      <c r="M30" s="153"/>
      <c r="N30" s="149">
        <f>L30+K30+G30+M30</f>
        <v>8023</v>
      </c>
      <c r="O30" s="67">
        <f t="shared" si="1"/>
        <v>3612391.1812500018</v>
      </c>
      <c r="P30" s="7">
        <f t="shared" si="4"/>
        <v>86697388.350000039</v>
      </c>
      <c r="Q30" s="164">
        <f>Q29+N30-1</f>
        <v>3855861.45</v>
      </c>
      <c r="R30" s="29">
        <f t="shared" si="2"/>
        <v>2552.6743614559055</v>
      </c>
      <c r="S30" s="5">
        <f>SUM($Q$7:$Q30)/T30+6</f>
        <v>3930020.8666666686</v>
      </c>
      <c r="T30" s="18">
        <v>24</v>
      </c>
      <c r="U30" s="4"/>
      <c r="V30" s="131"/>
      <c r="W30" s="105">
        <v>-2453190</v>
      </c>
      <c r="X30" s="167"/>
      <c r="Y30" s="156">
        <f>Y29-K30-L30</f>
        <v>-2453190</v>
      </c>
      <c r="Z30" s="217"/>
      <c r="AA30" s="92"/>
      <c r="AD30" s="1"/>
      <c r="AE30" s="1"/>
    </row>
    <row r="31" spans="2:31">
      <c r="B31" s="116">
        <v>44625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3615971.7120000017</v>
      </c>
      <c r="P31" s="7">
        <f t="shared" si="4"/>
        <v>90399292.800000042</v>
      </c>
      <c r="Q31" s="164">
        <f t="shared" ref="Q31:Q39" si="9">Q30+N31</f>
        <v>3855861.45</v>
      </c>
      <c r="R31" s="29">
        <f t="shared" si="2"/>
        <v>2550.7451626103402</v>
      </c>
      <c r="S31" s="5">
        <f>SUM($Q$7:$Q31)/T31+2</f>
        <v>3927050.7300000018</v>
      </c>
      <c r="T31" s="18">
        <v>25</v>
      </c>
      <c r="U31" s="4"/>
      <c r="V31" s="137"/>
      <c r="W31" s="105">
        <v>-2453190</v>
      </c>
      <c r="X31" s="167"/>
      <c r="Y31" s="156">
        <f t="shared" si="6"/>
        <v>-2453190</v>
      </c>
      <c r="Z31" s="217"/>
      <c r="AA31" s="92"/>
      <c r="AB31" s="92"/>
      <c r="AD31" s="1"/>
      <c r="AE31" s="1"/>
    </row>
    <row r="32" spans="2:31">
      <c r="B32" s="116">
        <v>44626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3619276.8173076939</v>
      </c>
      <c r="P32" s="7">
        <f t="shared" si="4"/>
        <v>94101197.250000045</v>
      </c>
      <c r="Q32" s="164">
        <f t="shared" si="9"/>
        <v>3855861.45</v>
      </c>
      <c r="R32" s="29">
        <f t="shared" si="2"/>
        <v>2548.9615656919204</v>
      </c>
      <c r="S32" s="5">
        <f>SUM($Q$7:$Q32)/T32-6</f>
        <v>3924304.7576923096</v>
      </c>
      <c r="T32" s="18">
        <v>26</v>
      </c>
      <c r="U32" s="27"/>
      <c r="V32" s="137"/>
      <c r="W32" s="105">
        <v>-2453190</v>
      </c>
      <c r="X32" s="167"/>
      <c r="Y32" s="156">
        <f t="shared" si="6"/>
        <v>-2453190</v>
      </c>
      <c r="Z32" s="217"/>
      <c r="AD32" s="1"/>
      <c r="AE32" s="1"/>
    </row>
    <row r="33" spans="2:31">
      <c r="B33" s="116">
        <v>44627</v>
      </c>
      <c r="C33" s="14" t="str">
        <f t="shared" si="0"/>
        <v/>
      </c>
      <c r="D33" s="87"/>
      <c r="E33" s="87">
        <v>0</v>
      </c>
      <c r="F33" s="23">
        <v>-798622</v>
      </c>
      <c r="G33" s="26">
        <f>D33+E33+F33-E30-F30</f>
        <v>19</v>
      </c>
      <c r="H33" s="132">
        <v>300</v>
      </c>
      <c r="I33" s="25">
        <v>-27800</v>
      </c>
      <c r="J33" s="25">
        <v>-1800</v>
      </c>
      <c r="K33" s="170">
        <f t="shared" si="3"/>
        <v>-29300</v>
      </c>
      <c r="L33" s="171">
        <v>13</v>
      </c>
      <c r="M33" s="153"/>
      <c r="N33" s="149">
        <f t="shared" si="7"/>
        <v>-29268</v>
      </c>
      <c r="O33" s="67">
        <f t="shared" si="1"/>
        <v>3621253.100000002</v>
      </c>
      <c r="P33" s="7">
        <f t="shared" si="4"/>
        <v>97773833.700000048</v>
      </c>
      <c r="Q33" s="164">
        <f>Q32+N33</f>
        <v>3826593.45</v>
      </c>
      <c r="R33" s="29">
        <f t="shared" si="2"/>
        <v>2546.6140533708435</v>
      </c>
      <c r="S33" s="5">
        <f>SUM($Q$7:$Q33)/T33-1</f>
        <v>3920690.5981481499</v>
      </c>
      <c r="T33" s="18">
        <v>27</v>
      </c>
      <c r="U33" s="138">
        <f>B33</f>
        <v>44627</v>
      </c>
      <c r="V33" s="131">
        <v>2411.5</v>
      </c>
      <c r="W33" s="105">
        <v>-2423903</v>
      </c>
      <c r="X33" s="167">
        <f>AVERAGE(W33:W41)</f>
        <v>-2433953</v>
      </c>
      <c r="Y33" s="156">
        <f>Y32-K33-L33</f>
        <v>-2423903</v>
      </c>
      <c r="Z33" s="217">
        <f>AVERAGE(Y33:Y41)</f>
        <v>-2433953</v>
      </c>
      <c r="AD33" s="1"/>
      <c r="AE33" s="1"/>
    </row>
    <row r="34" spans="2:31">
      <c r="B34" s="116">
        <v>44628</v>
      </c>
      <c r="C34" s="14" t="str">
        <f t="shared" si="0"/>
        <v/>
      </c>
      <c r="D34" s="87"/>
      <c r="E34" s="87">
        <v>0</v>
      </c>
      <c r="F34" s="23">
        <v>-807260</v>
      </c>
      <c r="G34" s="26">
        <f>D34+E34+F34-E33-F33</f>
        <v>-8638</v>
      </c>
      <c r="H34" s="132">
        <v>300</v>
      </c>
      <c r="I34" s="25">
        <v>1300</v>
      </c>
      <c r="J34" s="25">
        <v>-1800</v>
      </c>
      <c r="K34" s="170">
        <f t="shared" si="3"/>
        <v>-200</v>
      </c>
      <c r="L34" s="171">
        <v>-42</v>
      </c>
      <c r="M34" s="153"/>
      <c r="N34" s="149">
        <f>L34+K34+G34+M34</f>
        <v>-8880</v>
      </c>
      <c r="O34" s="67">
        <f t="shared" si="1"/>
        <v>3622771.1125000017</v>
      </c>
      <c r="P34" s="7">
        <f t="shared" si="4"/>
        <v>101437591.15000005</v>
      </c>
      <c r="Q34" s="164">
        <f>Q33+N34+1</f>
        <v>3817714.45</v>
      </c>
      <c r="R34" s="29">
        <f t="shared" si="2"/>
        <v>2544.2258831083645</v>
      </c>
      <c r="S34" s="5">
        <f>SUM($Q$7:$Q34)/T34</f>
        <v>3917013.8428571448</v>
      </c>
      <c r="T34" s="18">
        <v>28</v>
      </c>
      <c r="U34" s="138">
        <f>B33+8</f>
        <v>44635</v>
      </c>
      <c r="V34" s="131"/>
      <c r="W34" s="105">
        <v>-2423661</v>
      </c>
      <c r="X34" s="167"/>
      <c r="Y34" s="156">
        <f>Y33-K34-L34</f>
        <v>-2423661</v>
      </c>
      <c r="Z34" s="217"/>
      <c r="AA34" s="92"/>
      <c r="AD34" s="1"/>
      <c r="AE34" s="1"/>
    </row>
    <row r="35" spans="2:31">
      <c r="B35" s="116">
        <v>44629</v>
      </c>
      <c r="C35" s="14" t="str">
        <f t="shared" si="0"/>
        <v/>
      </c>
      <c r="D35" s="87">
        <f>-163+294</f>
        <v>131</v>
      </c>
      <c r="E35" s="87">
        <v>0</v>
      </c>
      <c r="F35" s="23">
        <v>-803019</v>
      </c>
      <c r="G35" s="26">
        <f>D35+E35+F35-E34-F34</f>
        <v>4372</v>
      </c>
      <c r="H35" s="132">
        <v>300</v>
      </c>
      <c r="I35" s="25">
        <v>13000</v>
      </c>
      <c r="J35" s="25">
        <v>-1800</v>
      </c>
      <c r="K35" s="170">
        <f t="shared" si="3"/>
        <v>11500</v>
      </c>
      <c r="L35" s="171">
        <v>-20</v>
      </c>
      <c r="M35" s="153"/>
      <c r="N35" s="149">
        <f t="shared" si="7"/>
        <v>15852</v>
      </c>
      <c r="O35" s="67">
        <f t="shared" si="1"/>
        <v>3624731.0896551744</v>
      </c>
      <c r="P35" s="7">
        <f t="shared" si="4"/>
        <v>105117201.60000005</v>
      </c>
      <c r="Q35" s="164">
        <f>Q34+N35+1</f>
        <v>3833567.45</v>
      </c>
      <c r="R35" s="29">
        <f t="shared" si="2"/>
        <v>2542.3568795407059</v>
      </c>
      <c r="S35" s="5">
        <f>SUM($Q$7:$Q35)/T35</f>
        <v>3914136.3810344846</v>
      </c>
      <c r="T35" s="18">
        <v>29</v>
      </c>
      <c r="U35" s="4"/>
      <c r="V35" s="131"/>
      <c r="W35" s="105">
        <v>-2435142</v>
      </c>
      <c r="X35" s="167"/>
      <c r="Y35" s="156">
        <f>Y34-K35-L35-1</f>
        <v>-2435142</v>
      </c>
      <c r="Z35" s="217"/>
      <c r="AA35" s="92"/>
      <c r="AD35" s="1"/>
      <c r="AE35" s="1"/>
    </row>
    <row r="36" spans="2:31">
      <c r="B36" s="116">
        <v>44630</v>
      </c>
      <c r="C36" s="14" t="str">
        <f t="shared" si="0"/>
        <v/>
      </c>
      <c r="D36" s="87"/>
      <c r="E36" s="87">
        <v>0</v>
      </c>
      <c r="F36" s="23">
        <v>-793764</v>
      </c>
      <c r="G36" s="26">
        <f>D36+E36+F36-E35-F35</f>
        <v>9255</v>
      </c>
      <c r="H36" s="132">
        <v>300</v>
      </c>
      <c r="I36" s="25">
        <v>-4300</v>
      </c>
      <c r="J36" s="25">
        <v>-1800</v>
      </c>
      <c r="K36" s="170">
        <f t="shared" si="3"/>
        <v>-5800</v>
      </c>
      <c r="L36" s="171">
        <v>32</v>
      </c>
      <c r="M36" s="153"/>
      <c r="N36" s="149">
        <f t="shared" si="7"/>
        <v>3487</v>
      </c>
      <c r="O36" s="67">
        <f t="shared" si="1"/>
        <v>3626676.5016666683</v>
      </c>
      <c r="P36" s="7">
        <f t="shared" si="4"/>
        <v>108800295.05000006</v>
      </c>
      <c r="Q36" s="164">
        <f>Q35+N36-4</f>
        <v>3837050.45</v>
      </c>
      <c r="R36" s="29">
        <f t="shared" si="2"/>
        <v>2540.6722981092139</v>
      </c>
      <c r="S36" s="5">
        <f>SUM($Q$7:$Q36)/T36-24</f>
        <v>3911542.850000002</v>
      </c>
      <c r="T36" s="18">
        <v>30</v>
      </c>
      <c r="U36" s="4"/>
      <c r="V36" s="136"/>
      <c r="W36" s="105">
        <v>-2429371</v>
      </c>
      <c r="X36" s="167"/>
      <c r="Y36" s="156">
        <f>Y35-K36-L36+3</f>
        <v>-2429371</v>
      </c>
      <c r="Z36" s="217"/>
      <c r="AD36" s="1"/>
      <c r="AE36" s="1"/>
    </row>
    <row r="37" spans="2:31">
      <c r="B37" s="116">
        <v>44631</v>
      </c>
      <c r="C37" s="14" t="str">
        <f t="shared" si="0"/>
        <v/>
      </c>
      <c r="D37" s="87"/>
      <c r="E37" s="87">
        <v>0</v>
      </c>
      <c r="F37" s="23">
        <v>-809169</v>
      </c>
      <c r="G37" s="26">
        <f>D37+E37+F37-E36-F36</f>
        <v>-15405</v>
      </c>
      <c r="H37" s="132">
        <v>300</v>
      </c>
      <c r="I37" s="25">
        <v>16500</v>
      </c>
      <c r="J37" s="25">
        <v>-1800</v>
      </c>
      <c r="K37" s="170">
        <f t="shared" si="3"/>
        <v>15000</v>
      </c>
      <c r="L37" s="171">
        <v>-29</v>
      </c>
      <c r="M37" s="153"/>
      <c r="N37" s="149">
        <f t="shared" si="7"/>
        <v>-434</v>
      </c>
      <c r="O37" s="67">
        <f t="shared" si="1"/>
        <v>3628482.3387096794</v>
      </c>
      <c r="P37" s="7">
        <f t="shared" si="4"/>
        <v>112482952.50000006</v>
      </c>
      <c r="Q37" s="164">
        <f>Q36+N37-2</f>
        <v>3836614.45</v>
      </c>
      <c r="R37" s="29">
        <f t="shared" si="2"/>
        <v>2539.1180853388692</v>
      </c>
      <c r="S37" s="5">
        <f>SUM($Q$7:$Q37)/T37+1</f>
        <v>3909150.0306451633</v>
      </c>
      <c r="T37" s="18">
        <v>31</v>
      </c>
      <c r="U37" s="27"/>
      <c r="V37" s="137"/>
      <c r="W37" s="105">
        <v>-2444340</v>
      </c>
      <c r="X37" s="167"/>
      <c r="Y37" s="156">
        <f>Y36-K37-L37+2</f>
        <v>-2444340</v>
      </c>
      <c r="Z37" s="217"/>
      <c r="AA37" s="92"/>
      <c r="AD37" s="1"/>
      <c r="AE37" s="1"/>
    </row>
    <row r="38" spans="2:31">
      <c r="B38" s="116">
        <v>44632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3630175.310937502</v>
      </c>
      <c r="P38" s="7">
        <f t="shared" si="4"/>
        <v>116165609.95000006</v>
      </c>
      <c r="Q38" s="164">
        <f t="shared" si="9"/>
        <v>3836614.45</v>
      </c>
      <c r="R38" s="29">
        <f t="shared" si="2"/>
        <v>2537.6451379281243</v>
      </c>
      <c r="S38" s="5">
        <f>SUM($Q$7:$Q38)/T38</f>
        <v>3906882.325000002</v>
      </c>
      <c r="T38" s="18">
        <v>32</v>
      </c>
      <c r="U38" s="27"/>
      <c r="V38" s="137"/>
      <c r="W38" s="105">
        <v>-2444340</v>
      </c>
      <c r="X38" s="167"/>
      <c r="Y38" s="156">
        <f t="shared" si="6"/>
        <v>-2444340</v>
      </c>
      <c r="Z38" s="217"/>
      <c r="AD38" s="1"/>
      <c r="AE38" s="1"/>
    </row>
    <row r="39" spans="2:31">
      <c r="B39" s="116">
        <v>44633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3631765.6787878806</v>
      </c>
      <c r="P39" s="7">
        <f t="shared" si="4"/>
        <v>119848267.40000007</v>
      </c>
      <c r="Q39" s="164">
        <f t="shared" si="9"/>
        <v>3836614.45</v>
      </c>
      <c r="R39" s="29">
        <f t="shared" si="2"/>
        <v>2536.263369287884</v>
      </c>
      <c r="S39" s="5">
        <f>SUM($Q$7:$Q39)/T39+2</f>
        <v>3904754.9954545475</v>
      </c>
      <c r="T39" s="18">
        <v>33</v>
      </c>
      <c r="U39" s="27"/>
      <c r="V39" s="137"/>
      <c r="W39" s="105">
        <v>-2444340</v>
      </c>
      <c r="X39" s="167"/>
      <c r="Y39" s="156">
        <f t="shared" si="6"/>
        <v>-2444340</v>
      </c>
      <c r="Z39" s="217"/>
      <c r="AD39" s="1"/>
      <c r="AE39" s="1"/>
    </row>
    <row r="40" spans="2:31">
      <c r="B40" s="116">
        <v>44634</v>
      </c>
      <c r="C40" s="14" t="str">
        <f t="shared" si="0"/>
        <v/>
      </c>
      <c r="D40" s="87"/>
      <c r="E40" s="87">
        <v>12</v>
      </c>
      <c r="F40" s="23">
        <v>-805017</v>
      </c>
      <c r="G40" s="26">
        <f>D40+E40+F40-E37-F37</f>
        <v>4164</v>
      </c>
      <c r="H40" s="132">
        <v>300</v>
      </c>
      <c r="I40" s="25">
        <v>-2000</v>
      </c>
      <c r="J40" s="25">
        <v>-800</v>
      </c>
      <c r="K40" s="170">
        <f t="shared" si="3"/>
        <v>-2500</v>
      </c>
      <c r="L40" s="171">
        <v>45</v>
      </c>
      <c r="M40" s="153"/>
      <c r="N40" s="149">
        <f t="shared" si="7"/>
        <v>1709</v>
      </c>
      <c r="O40" s="67">
        <f t="shared" si="1"/>
        <v>3633309.642647061</v>
      </c>
      <c r="P40" s="7">
        <f t="shared" si="4"/>
        <v>123532527.85000007</v>
      </c>
      <c r="Q40" s="164">
        <f>Q39+N40-106</f>
        <v>3838217.45</v>
      </c>
      <c r="R40" s="29">
        <f t="shared" si="2"/>
        <v>2534.9916324993737</v>
      </c>
      <c r="S40" s="5">
        <f>SUM($Q$7:$Q40)/T40+1</f>
        <v>3902797.0676470608</v>
      </c>
      <c r="T40" s="18">
        <v>34</v>
      </c>
      <c r="U40" s="138"/>
      <c r="V40" s="131"/>
      <c r="W40" s="105">
        <v>-2441884</v>
      </c>
      <c r="X40" s="167"/>
      <c r="Y40" s="156">
        <f>Y39-K40-L40+1</f>
        <v>-2441884</v>
      </c>
      <c r="Z40" s="217"/>
      <c r="AD40" s="1"/>
      <c r="AE40" s="1"/>
    </row>
    <row r="41" spans="2:31">
      <c r="B41" s="116">
        <v>44635</v>
      </c>
      <c r="C41" s="14" t="str">
        <f t="shared" si="0"/>
        <v/>
      </c>
      <c r="D41" s="87"/>
      <c r="E41" s="87">
        <v>10</v>
      </c>
      <c r="F41" s="23">
        <v>-787663</v>
      </c>
      <c r="G41" s="26">
        <f>D41+E41+F41-E40-F40</f>
        <v>17352</v>
      </c>
      <c r="H41" s="132">
        <v>300</v>
      </c>
      <c r="I41" s="25">
        <v>-22800</v>
      </c>
      <c r="J41" s="25">
        <v>-800</v>
      </c>
      <c r="K41" s="170">
        <f t="shared" si="3"/>
        <v>-23300</v>
      </c>
      <c r="L41" s="171">
        <v>13</v>
      </c>
      <c r="M41" s="153"/>
      <c r="N41" s="149">
        <f t="shared" si="7"/>
        <v>-5935</v>
      </c>
      <c r="O41" s="67">
        <f t="shared" si="1"/>
        <v>3634595.8371428591</v>
      </c>
      <c r="P41" s="7">
        <f t="shared" si="4"/>
        <v>127210854.30000007</v>
      </c>
      <c r="Q41" s="164">
        <f>Q40+N41+1</f>
        <v>3832283.45</v>
      </c>
      <c r="R41" s="29">
        <f t="shared" si="2"/>
        <v>2533.6765599671162</v>
      </c>
      <c r="S41" s="5">
        <f>SUM($Q$7:$Q41)/T41-9</f>
        <v>3900772.4214285733</v>
      </c>
      <c r="T41" s="18">
        <v>35</v>
      </c>
      <c r="U41" s="138"/>
      <c r="V41" s="137"/>
      <c r="W41" s="105">
        <v>-2418596</v>
      </c>
      <c r="X41" s="167"/>
      <c r="Y41" s="156">
        <f>Y40-K41-L41+1</f>
        <v>-2418596</v>
      </c>
      <c r="Z41" s="217"/>
      <c r="AD41" s="1"/>
      <c r="AE41" s="1"/>
    </row>
    <row r="43" spans="2:31" ht="12.75" thickBot="1"/>
    <row r="44" spans="2:31" ht="13.5" thickTop="1" thickBot="1">
      <c r="D44" s="141" t="s">
        <v>58</v>
      </c>
      <c r="E44" s="20"/>
      <c r="F44" s="21"/>
      <c r="G44" s="22"/>
    </row>
    <row r="45" spans="2:31">
      <c r="D45" s="27" t="s">
        <v>59</v>
      </c>
      <c r="E45" s="139"/>
      <c r="F45" s="142"/>
      <c r="G45" s="90">
        <f>'JAN 2022'!Q55</f>
        <v>3864889.45</v>
      </c>
    </row>
    <row r="46" spans="2:31">
      <c r="D46" s="138" t="s">
        <v>4</v>
      </c>
      <c r="E46" s="139"/>
      <c r="F46" s="143"/>
      <c r="G46" s="91">
        <f>'JAN 2022'!E55</f>
        <v>0</v>
      </c>
    </row>
    <row r="47" spans="2:31">
      <c r="D47" s="138" t="s">
        <v>60</v>
      </c>
      <c r="E47" s="144"/>
      <c r="F47" s="143"/>
      <c r="G47" s="91">
        <f>'JAN 2022'!F55</f>
        <v>-808372</v>
      </c>
    </row>
    <row r="48" spans="2:31" ht="12.75" thickBot="1">
      <c r="D48" s="140" t="s">
        <v>46</v>
      </c>
      <c r="E48" s="145"/>
      <c r="F48" s="146"/>
      <c r="G48" s="158">
        <f>'JAN 2022'!Y55</f>
        <v>-2471607</v>
      </c>
    </row>
    <row r="49" ht="12.75" thickTop="1"/>
    <row r="65492" spans="23:23">
      <c r="W65492" s="105"/>
    </row>
    <row r="65499" spans="23:23">
      <c r="W65499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E0DF-F77E-49C1-A479-A6FEFA87908C}">
  <sheetPr codeName="Sheet31">
    <pageSetUpPr fitToPage="1"/>
  </sheetPr>
  <dimension ref="B1:IU65499"/>
  <sheetViews>
    <sheetView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H19" sqref="H19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156792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44636</v>
      </c>
      <c r="C7" s="196" t="str">
        <f t="shared" ref="C7:C41" si="0">IF(OR(WEEKDAY(B7)=1,WEEKDAY(B7)=7),"F","")</f>
        <v/>
      </c>
      <c r="D7" s="197">
        <f>-294+226</f>
        <v>-68</v>
      </c>
      <c r="E7" s="197">
        <v>6</v>
      </c>
      <c r="F7" s="198">
        <v>-593401</v>
      </c>
      <c r="G7" s="199">
        <f>D7+E7+F7-G46-G47</f>
        <v>194190</v>
      </c>
      <c r="H7" s="132">
        <v>2800</v>
      </c>
      <c r="I7" s="63">
        <v>-11500</v>
      </c>
      <c r="J7" s="63">
        <v>-800</v>
      </c>
      <c r="K7" s="168">
        <f>+H7+I7+J7</f>
        <v>-9500</v>
      </c>
      <c r="L7" s="169">
        <v>-40</v>
      </c>
      <c r="M7" s="203"/>
      <c r="N7" s="204">
        <f>L7+K7+G7+M7</f>
        <v>184650</v>
      </c>
      <c r="O7" s="205">
        <f t="shared" ref="O7:O41" si="1">P7/T7</f>
        <v>3860141.45</v>
      </c>
      <c r="P7" s="206">
        <f>(+$Q7-$Q$3)</f>
        <v>3860141.45</v>
      </c>
      <c r="Q7" s="207">
        <f>G45+N7</f>
        <v>4016933.45</v>
      </c>
      <c r="R7" s="208">
        <f t="shared" ref="R7:R41" si="2">$S7/$Q$3*100</f>
        <v>2561.9505140568394</v>
      </c>
      <c r="S7" s="209">
        <f>$Q7</f>
        <v>4016933.45</v>
      </c>
      <c r="T7" s="210">
        <v>1</v>
      </c>
      <c r="U7" s="211">
        <f>B7</f>
        <v>44636</v>
      </c>
      <c r="V7" s="212">
        <v>2459.1999999999998</v>
      </c>
      <c r="W7" s="213">
        <v>-2409056</v>
      </c>
      <c r="X7" s="214">
        <f>AVERAGE(W7:W11)</f>
        <v>-2385698.2000000002</v>
      </c>
      <c r="Y7" s="215">
        <f>G48-K7-L7</f>
        <v>-2409056</v>
      </c>
      <c r="Z7" s="216">
        <f>AVERAGE(Y7:Y13)</f>
        <v>-2381222.2857142859</v>
      </c>
      <c r="AA7" s="92"/>
    </row>
    <row r="8" spans="2:255">
      <c r="B8" s="116">
        <v>44637</v>
      </c>
      <c r="C8" s="14"/>
      <c r="D8" s="87"/>
      <c r="E8" s="128">
        <v>1</v>
      </c>
      <c r="F8" s="162">
        <v>-589154</v>
      </c>
      <c r="G8" s="26">
        <f>D8+E8+F8-E7-F7</f>
        <v>4242</v>
      </c>
      <c r="H8" s="132">
        <v>300</v>
      </c>
      <c r="I8" s="63">
        <v>-23400</v>
      </c>
      <c r="J8" s="63">
        <v>-800</v>
      </c>
      <c r="K8" s="170">
        <f t="shared" ref="K8:K41" si="3">+H8+I8+J8</f>
        <v>-23900</v>
      </c>
      <c r="L8" s="171">
        <v>11</v>
      </c>
      <c r="M8" s="153"/>
      <c r="N8" s="149">
        <f>L8+K8+G8+M8</f>
        <v>-19647</v>
      </c>
      <c r="O8" s="67">
        <f t="shared" si="1"/>
        <v>1920247.7250000001</v>
      </c>
      <c r="P8" s="163">
        <f>(IF($Q8&lt;0,-$Q$3+P6,($Q8-$Q$3)+P6))</f>
        <v>3840495.45</v>
      </c>
      <c r="Q8" s="164">
        <f>Q7+N8+1</f>
        <v>3997287.45</v>
      </c>
      <c r="R8" s="29">
        <f t="shared" si="2"/>
        <v>2555.6855260472475</v>
      </c>
      <c r="S8" s="165">
        <f>SUM($Q$7:$Q8)/T8</f>
        <v>4007110.45</v>
      </c>
      <c r="T8" s="166">
        <v>2</v>
      </c>
      <c r="U8" s="138">
        <f>B7+6</f>
        <v>44642</v>
      </c>
      <c r="V8" s="131"/>
      <c r="W8" s="105">
        <v>-2385168</v>
      </c>
      <c r="X8" s="167"/>
      <c r="Y8" s="156">
        <f>Y7-K8-L8-1</f>
        <v>-2385168</v>
      </c>
      <c r="Z8" s="217"/>
      <c r="AA8" s="92"/>
    </row>
    <row r="9" spans="2:255">
      <c r="B9" s="116">
        <v>44638</v>
      </c>
      <c r="C9" s="14" t="str">
        <f t="shared" si="0"/>
        <v/>
      </c>
      <c r="D9" s="87"/>
      <c r="E9" s="87">
        <v>0</v>
      </c>
      <c r="F9" s="23">
        <v>-586972</v>
      </c>
      <c r="G9" s="26">
        <f>D9+E9+F9-E8-F8</f>
        <v>2181</v>
      </c>
      <c r="H9" s="132">
        <v>-14100</v>
      </c>
      <c r="I9" s="63">
        <v>7800</v>
      </c>
      <c r="J9" s="63">
        <v>-800</v>
      </c>
      <c r="K9" s="170">
        <f t="shared" si="3"/>
        <v>-7100</v>
      </c>
      <c r="L9" s="171">
        <v>23</v>
      </c>
      <c r="M9" s="153"/>
      <c r="N9" s="149">
        <f>L9+K9+G9+M9</f>
        <v>-4896</v>
      </c>
      <c r="O9" s="67">
        <f t="shared" si="1"/>
        <v>2565246.6333333333</v>
      </c>
      <c r="P9" s="7">
        <f>(IF($Q9&lt;0,-$Q$3+P7,($Q9-$Q$3)+P7))</f>
        <v>7695739.9000000004</v>
      </c>
      <c r="Q9" s="164">
        <f>Q8+N9-1</f>
        <v>3992390.45</v>
      </c>
      <c r="R9" s="29">
        <f t="shared" si="2"/>
        <v>2552.5567524703642</v>
      </c>
      <c r="S9" s="5">
        <f>SUM($Q$7:$Q9)/T9+1</f>
        <v>4002204.7833333337</v>
      </c>
      <c r="T9" s="17">
        <v>3</v>
      </c>
      <c r="U9" s="4"/>
      <c r="V9" s="131"/>
      <c r="W9" s="105">
        <v>-2378089</v>
      </c>
      <c r="X9" s="167"/>
      <c r="Y9" s="156">
        <f>Y8-K9-L9+2</f>
        <v>-2378089</v>
      </c>
      <c r="Z9" s="217"/>
      <c r="AA9" s="92"/>
    </row>
    <row r="10" spans="2:255">
      <c r="B10" s="116">
        <v>44639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2882834.3375000004</v>
      </c>
      <c r="P10" s="7">
        <f t="shared" ref="P10:P41" si="4">(IF($Q10&lt;0,-$Q$3+P9,($Q10-$Q$3)+P9))</f>
        <v>11531337.350000001</v>
      </c>
      <c r="Q10" s="164">
        <f>Q9+N10-1</f>
        <v>3992389.45</v>
      </c>
      <c r="R10" s="29">
        <f t="shared" si="2"/>
        <v>2550.9906117659066</v>
      </c>
      <c r="S10" s="5">
        <f>SUM($Q$7:$Q10)/T10-1</f>
        <v>3999749.2</v>
      </c>
      <c r="T10" s="17">
        <v>4</v>
      </c>
      <c r="U10" s="27"/>
      <c r="V10" s="133"/>
      <c r="W10" s="105">
        <v>-2378089</v>
      </c>
      <c r="X10" s="167"/>
      <c r="Y10" s="156">
        <f>Y9-K10-L10</f>
        <v>-2378089</v>
      </c>
      <c r="Z10" s="217"/>
      <c r="AA10" s="92"/>
    </row>
    <row r="11" spans="2:255">
      <c r="B11" s="116">
        <v>44640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3073386.96</v>
      </c>
      <c r="P11" s="7">
        <f t="shared" si="4"/>
        <v>15366934.800000001</v>
      </c>
      <c r="Q11" s="164">
        <f t="shared" ref="Q11:Q18" si="5">Q10+N11</f>
        <v>3992389.45</v>
      </c>
      <c r="R11" s="29">
        <f t="shared" si="2"/>
        <v>2550.0516926884025</v>
      </c>
      <c r="S11" s="5">
        <f>SUM($Q$7:$Q11)/T11-1</f>
        <v>3998277.05</v>
      </c>
      <c r="T11" s="17">
        <v>5</v>
      </c>
      <c r="U11" s="27"/>
      <c r="V11" s="134"/>
      <c r="W11" s="105">
        <v>-2378089</v>
      </c>
      <c r="X11" s="167"/>
      <c r="Y11" s="156">
        <f t="shared" ref="Y11:Y39" si="6">Y10-K11-L11</f>
        <v>-2378089</v>
      </c>
      <c r="Z11" s="217"/>
      <c r="AA11" s="92"/>
    </row>
    <row r="12" spans="2:255">
      <c r="B12" s="116">
        <v>44641</v>
      </c>
      <c r="C12" s="14" t="str">
        <f t="shared" si="0"/>
        <v/>
      </c>
      <c r="D12" s="87"/>
      <c r="E12" s="161">
        <v>0</v>
      </c>
      <c r="F12" s="23">
        <v>-609782</v>
      </c>
      <c r="G12" s="26">
        <f>D12+E12+F12-E9-F9</f>
        <v>-22810</v>
      </c>
      <c r="H12" s="132">
        <v>-10500</v>
      </c>
      <c r="I12" s="63">
        <v>-300</v>
      </c>
      <c r="J12" s="63">
        <v>-400</v>
      </c>
      <c r="K12" s="170">
        <f t="shared" si="3"/>
        <v>-11200</v>
      </c>
      <c r="L12" s="171">
        <v>-38</v>
      </c>
      <c r="M12" s="153"/>
      <c r="N12" s="149">
        <f t="shared" ref="N12:N41" si="7">L12+K12+G12+M12</f>
        <v>-34048</v>
      </c>
      <c r="O12" s="67">
        <f t="shared" si="1"/>
        <v>3194747.375</v>
      </c>
      <c r="P12" s="7">
        <f t="shared" si="4"/>
        <v>19168484.25</v>
      </c>
      <c r="Q12" s="164">
        <f>Q11+N12</f>
        <v>3958341.45</v>
      </c>
      <c r="R12" s="29">
        <f t="shared" si="2"/>
        <v>2545.8058765753353</v>
      </c>
      <c r="S12" s="5">
        <f>SUM($Q$7:$Q12)/T12-2</f>
        <v>3991619.9499999997</v>
      </c>
      <c r="T12" s="17">
        <v>6</v>
      </c>
      <c r="U12" s="138">
        <f>B13</f>
        <v>44642</v>
      </c>
      <c r="V12" s="131">
        <v>2501.1999999999998</v>
      </c>
      <c r="W12" s="105">
        <v>-2366851</v>
      </c>
      <c r="X12" s="167">
        <f>AVERAGE(W12:W20)</f>
        <v>-2391243.3333333335</v>
      </c>
      <c r="Y12" s="156">
        <f>Y11-K12-L12</f>
        <v>-2366851</v>
      </c>
      <c r="Z12" s="217">
        <f>AVERAGE(Y12:Y20)</f>
        <v>-2391243.3333333335</v>
      </c>
      <c r="AA12" s="92"/>
    </row>
    <row r="13" spans="2:255">
      <c r="B13" s="116">
        <v>44642</v>
      </c>
      <c r="C13" s="14"/>
      <c r="D13" s="87"/>
      <c r="E13" s="87">
        <v>0</v>
      </c>
      <c r="F13" s="23">
        <v>-660690</v>
      </c>
      <c r="G13" s="26">
        <f>D13+E13+F13-E12-F12</f>
        <v>-50908</v>
      </c>
      <c r="H13" s="132">
        <v>-500</v>
      </c>
      <c r="I13" s="63">
        <v>7300</v>
      </c>
      <c r="J13" s="63">
        <v>-400</v>
      </c>
      <c r="K13" s="170">
        <f t="shared" si="3"/>
        <v>6400</v>
      </c>
      <c r="L13" s="171">
        <v>-37</v>
      </c>
      <c r="M13" s="153"/>
      <c r="N13" s="149">
        <f t="shared" si="7"/>
        <v>-44545</v>
      </c>
      <c r="O13" s="67">
        <f t="shared" si="1"/>
        <v>3275069.6714285715</v>
      </c>
      <c r="P13" s="7">
        <f>(IF($Q13&lt;0,-$Q$3+P12,($Q13-$Q$3)+P12))</f>
        <v>22925487.699999999</v>
      </c>
      <c r="Q13" s="164">
        <f>Q12+N13-1</f>
        <v>3913795.45</v>
      </c>
      <c r="R13" s="29">
        <f t="shared" si="2"/>
        <v>2538.7149080127992</v>
      </c>
      <c r="S13" s="5">
        <f>SUM($Q$7:$Q13)/T13-2</f>
        <v>3980501.8785714284</v>
      </c>
      <c r="T13" s="17">
        <v>7</v>
      </c>
      <c r="U13" s="138">
        <f>B14+6</f>
        <v>44649</v>
      </c>
      <c r="V13" s="249"/>
      <c r="W13" s="105">
        <v>-2373214</v>
      </c>
      <c r="X13" s="167"/>
      <c r="Y13" s="156">
        <f t="shared" ref="Y13:Y14" si="8">Y12-K13-L13</f>
        <v>-2373214</v>
      </c>
      <c r="Z13" s="217"/>
      <c r="AA13" s="92"/>
      <c r="AB13" s="92"/>
    </row>
    <row r="14" spans="2:255">
      <c r="B14" s="116">
        <v>44643</v>
      </c>
      <c r="C14" s="14"/>
      <c r="D14" s="87">
        <f>-226+204</f>
        <v>-22</v>
      </c>
      <c r="E14" s="87">
        <v>0</v>
      </c>
      <c r="F14" s="23">
        <v>-691658</v>
      </c>
      <c r="G14" s="26">
        <f>D14+E14+F14-E13-F13</f>
        <v>-30990</v>
      </c>
      <c r="H14" s="132">
        <v>400</v>
      </c>
      <c r="I14" s="63">
        <v>16100</v>
      </c>
      <c r="J14" s="63">
        <v>-400</v>
      </c>
      <c r="K14" s="170">
        <f t="shared" si="3"/>
        <v>16100</v>
      </c>
      <c r="L14" s="171">
        <v>-22</v>
      </c>
      <c r="M14" s="154"/>
      <c r="N14" s="149">
        <f>L14+K14+G14+M14</f>
        <v>-14912</v>
      </c>
      <c r="O14" s="67">
        <f t="shared" si="1"/>
        <v>3333447.3937499998</v>
      </c>
      <c r="P14" s="7">
        <f t="shared" si="4"/>
        <v>26667579.149999999</v>
      </c>
      <c r="Q14" s="164">
        <f>Q13+N14</f>
        <v>3898883.45</v>
      </c>
      <c r="R14" s="29">
        <f t="shared" si="2"/>
        <v>2532.2084832134292</v>
      </c>
      <c r="S14" s="5">
        <f>SUM($Q$7:$Q14)/T14-1</f>
        <v>3970300.3249999997</v>
      </c>
      <c r="T14" s="17">
        <v>8</v>
      </c>
      <c r="U14" s="4"/>
      <c r="V14" s="4"/>
      <c r="W14" s="105">
        <v>-2389292</v>
      </c>
      <c r="X14" s="167"/>
      <c r="Y14" s="156">
        <f t="shared" si="8"/>
        <v>-2389292</v>
      </c>
      <c r="Z14" s="217"/>
      <c r="AA14" s="92"/>
    </row>
    <row r="15" spans="2:255">
      <c r="B15" s="116">
        <v>44644</v>
      </c>
      <c r="C15" s="14" t="str">
        <f t="shared" si="0"/>
        <v/>
      </c>
      <c r="D15" s="87"/>
      <c r="E15" s="87">
        <v>0</v>
      </c>
      <c r="F15" s="23">
        <v>-765066</v>
      </c>
      <c r="G15" s="26">
        <f>D15+E15+F15-E14-F14</f>
        <v>-73408</v>
      </c>
      <c r="H15" s="132">
        <v>300</v>
      </c>
      <c r="I15" s="63">
        <v>3000</v>
      </c>
      <c r="J15" s="63">
        <v>-500</v>
      </c>
      <c r="K15" s="170">
        <f t="shared" si="3"/>
        <v>2800</v>
      </c>
      <c r="L15" s="172">
        <v>21</v>
      </c>
      <c r="M15" s="153"/>
      <c r="N15" s="149">
        <f>L15+K15+G15+M15</f>
        <v>-70587</v>
      </c>
      <c r="O15" s="67">
        <f t="shared" si="1"/>
        <v>3371009.4</v>
      </c>
      <c r="P15" s="7">
        <f t="shared" si="4"/>
        <v>30339084.599999998</v>
      </c>
      <c r="Q15" s="164">
        <f>Q14+N15+1</f>
        <v>3828297.45</v>
      </c>
      <c r="R15" s="29">
        <f t="shared" si="2"/>
        <v>2522.1459747095937</v>
      </c>
      <c r="S15" s="5">
        <f>SUM($Q$7:$Q15)/T15</f>
        <v>3954523.1166666662</v>
      </c>
      <c r="T15" s="17">
        <v>9</v>
      </c>
      <c r="U15" s="4"/>
      <c r="V15" s="4"/>
      <c r="W15" s="105">
        <v>-2392113</v>
      </c>
      <c r="X15" s="167"/>
      <c r="Y15" s="156">
        <f>Y14-K15-L15</f>
        <v>-2392113</v>
      </c>
      <c r="Z15" s="217"/>
      <c r="AA15" s="92"/>
      <c r="AB15" s="92"/>
    </row>
    <row r="16" spans="2:255" s="69" customFormat="1">
      <c r="B16" s="116">
        <v>44645</v>
      </c>
      <c r="C16" s="14"/>
      <c r="D16" s="129"/>
      <c r="E16" s="87">
        <v>0</v>
      </c>
      <c r="F16" s="23">
        <v>-763650</v>
      </c>
      <c r="G16" s="26">
        <f>D16+E16+F16-E15-F15</f>
        <v>1416</v>
      </c>
      <c r="H16" s="132">
        <v>300</v>
      </c>
      <c r="I16" s="63">
        <v>10100</v>
      </c>
      <c r="J16" s="63">
        <v>-500</v>
      </c>
      <c r="K16" s="170">
        <f t="shared" si="3"/>
        <v>9900</v>
      </c>
      <c r="L16" s="172">
        <v>-41</v>
      </c>
      <c r="M16" s="153"/>
      <c r="N16" s="152">
        <f>L16+K16+G16+M16</f>
        <v>11275</v>
      </c>
      <c r="O16" s="67">
        <f t="shared" si="1"/>
        <v>3402186.6049999995</v>
      </c>
      <c r="P16" s="70">
        <f t="shared" si="4"/>
        <v>34021866.049999997</v>
      </c>
      <c r="Q16" s="164">
        <f>Q15+N16+1</f>
        <v>3839573.45</v>
      </c>
      <c r="R16" s="71">
        <f t="shared" si="2"/>
        <v>2514.8146270217867</v>
      </c>
      <c r="S16" s="72">
        <f>SUM($Q$7:$Q16)/T16</f>
        <v>3943028.15</v>
      </c>
      <c r="T16" s="73">
        <v>10</v>
      </c>
      <c r="U16" s="218"/>
      <c r="V16" s="133"/>
      <c r="W16" s="105">
        <v>-2401973</v>
      </c>
      <c r="X16" s="167"/>
      <c r="Y16" s="156">
        <f>Y15-K16-L16-1</f>
        <v>-2401973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44646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3427695.2272727271</v>
      </c>
      <c r="P17" s="7">
        <f t="shared" si="4"/>
        <v>37704647.5</v>
      </c>
      <c r="Q17" s="164">
        <f t="shared" si="5"/>
        <v>3839573.45</v>
      </c>
      <c r="R17" s="29">
        <f t="shared" si="2"/>
        <v>2508.8162516408538</v>
      </c>
      <c r="S17" s="5">
        <f>SUM($Q$7:$Q17)/T17</f>
        <v>3933623.1772727277</v>
      </c>
      <c r="T17" s="18">
        <v>11</v>
      </c>
      <c r="U17" s="27"/>
      <c r="V17" s="136"/>
      <c r="W17" s="105">
        <v>-2401973</v>
      </c>
      <c r="X17" s="167"/>
      <c r="Y17" s="156">
        <f t="shared" si="6"/>
        <v>-2401973</v>
      </c>
      <c r="Z17" s="217"/>
      <c r="AA17" s="92"/>
      <c r="AC17" s="92"/>
    </row>
    <row r="18" spans="2:31">
      <c r="B18" s="116">
        <v>44647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3448952.4125000001</v>
      </c>
      <c r="P18" s="7">
        <f t="shared" si="4"/>
        <v>41387428.950000003</v>
      </c>
      <c r="Q18" s="164">
        <f t="shared" si="5"/>
        <v>3839573.45</v>
      </c>
      <c r="R18" s="29">
        <f t="shared" si="2"/>
        <v>2503.8169677024343</v>
      </c>
      <c r="S18" s="5">
        <f>SUM($Q$7:$Q18)/T18-1</f>
        <v>3925784.7000000007</v>
      </c>
      <c r="T18" s="18">
        <v>12</v>
      </c>
      <c r="U18" s="27"/>
      <c r="V18" s="136"/>
      <c r="W18" s="105">
        <v>-2401973</v>
      </c>
      <c r="X18" s="167"/>
      <c r="Y18" s="156">
        <f t="shared" si="6"/>
        <v>-2401973</v>
      </c>
      <c r="Z18" s="217"/>
      <c r="AA18" s="92"/>
    </row>
    <row r="19" spans="2:31">
      <c r="B19" s="116">
        <v>44648</v>
      </c>
      <c r="C19" s="14" t="str">
        <f t="shared" si="0"/>
        <v/>
      </c>
      <c r="D19" s="87"/>
      <c r="E19" s="87">
        <v>0</v>
      </c>
      <c r="F19" s="23">
        <v>-770599</v>
      </c>
      <c r="G19" s="26">
        <f>D19+E19+F19-E16-F16</f>
        <v>-6949</v>
      </c>
      <c r="H19" s="132">
        <v>300</v>
      </c>
      <c r="I19" s="63">
        <v>2100</v>
      </c>
      <c r="J19" s="63">
        <v>-700</v>
      </c>
      <c r="K19" s="170">
        <f t="shared" si="3"/>
        <v>1700</v>
      </c>
      <c r="L19" s="171">
        <v>41</v>
      </c>
      <c r="M19" s="153"/>
      <c r="N19" s="149">
        <f t="shared" si="7"/>
        <v>-5208</v>
      </c>
      <c r="O19" s="67">
        <f t="shared" si="1"/>
        <v>3466538.5692307698</v>
      </c>
      <c r="P19" s="7">
        <f t="shared" si="4"/>
        <v>45065001.400000006</v>
      </c>
      <c r="Q19" s="164">
        <f>Q18+N19-1</f>
        <v>3834364.45</v>
      </c>
      <c r="R19" s="29">
        <f t="shared" si="2"/>
        <v>2499.3324252218526</v>
      </c>
      <c r="S19" s="5">
        <f>SUM($Q$7:$Q19)/T19</f>
        <v>3918753.2961538467</v>
      </c>
      <c r="T19" s="18">
        <v>13</v>
      </c>
      <c r="U19" s="138">
        <f>B19</f>
        <v>44648</v>
      </c>
      <c r="V19" s="131">
        <v>2425.6999999999998</v>
      </c>
      <c r="W19" s="105">
        <v>-2403714</v>
      </c>
      <c r="X19" s="167">
        <f>AVERAGE(W20:W27)</f>
        <v>-2427771.375</v>
      </c>
      <c r="Y19" s="156">
        <f>Y18-K19-L19</f>
        <v>-2403714</v>
      </c>
      <c r="Z19" s="217">
        <f>AVERAGE(Y20:Y27)</f>
        <v>-2426521.375</v>
      </c>
      <c r="AA19" s="92"/>
      <c r="AD19" s="309"/>
    </row>
    <row r="20" spans="2:31">
      <c r="B20" s="116">
        <v>44649</v>
      </c>
      <c r="C20" s="14"/>
      <c r="D20" s="87"/>
      <c r="E20" s="87">
        <v>0</v>
      </c>
      <c r="F20" s="23">
        <v>-765029</v>
      </c>
      <c r="G20" s="26">
        <f>D20+E20+F20-E19-F19</f>
        <v>5570</v>
      </c>
      <c r="H20" s="132">
        <v>300</v>
      </c>
      <c r="I20" s="63">
        <v>-13200</v>
      </c>
      <c r="J20" s="63">
        <v>-700</v>
      </c>
      <c r="K20" s="170">
        <f t="shared" si="3"/>
        <v>-13600</v>
      </c>
      <c r="L20" s="171">
        <v>-28</v>
      </c>
      <c r="M20" s="153"/>
      <c r="N20" s="149">
        <f t="shared" si="7"/>
        <v>-8058</v>
      </c>
      <c r="O20" s="67">
        <f t="shared" si="1"/>
        <v>3481036.9178571436</v>
      </c>
      <c r="P20" s="7">
        <f t="shared" si="4"/>
        <v>48734516.850000009</v>
      </c>
      <c r="Q20" s="164">
        <f>Q19+N20+1</f>
        <v>3826307.45</v>
      </c>
      <c r="R20" s="29">
        <f t="shared" si="2"/>
        <v>2495.1222137791297</v>
      </c>
      <c r="S20" s="5">
        <f>SUM($Q$7:$Q20)/T20+2</f>
        <v>3912152.0214285725</v>
      </c>
      <c r="T20" s="18">
        <v>14</v>
      </c>
      <c r="U20" s="138">
        <f>B19+8</f>
        <v>44656</v>
      </c>
      <c r="V20" s="131"/>
      <c r="W20" s="105">
        <v>-2390087</v>
      </c>
      <c r="X20" s="167"/>
      <c r="Y20" s="156">
        <f>Y19-K20-L20-1</f>
        <v>-2390087</v>
      </c>
      <c r="Z20" s="217"/>
      <c r="AA20" s="92"/>
      <c r="AB20" s="92"/>
    </row>
    <row r="21" spans="2:31">
      <c r="B21" s="116">
        <v>44650</v>
      </c>
      <c r="C21" s="14" t="str">
        <f t="shared" si="0"/>
        <v/>
      </c>
      <c r="D21" s="87">
        <f>-1796-204+373</f>
        <v>-1627</v>
      </c>
      <c r="E21" s="87">
        <v>1</v>
      </c>
      <c r="F21" s="23">
        <v>-768423</v>
      </c>
      <c r="G21" s="26">
        <f>D21+E21+F21-E20-F20</f>
        <v>-5020</v>
      </c>
      <c r="H21" s="132">
        <v>400</v>
      </c>
      <c r="I21" s="63">
        <v>-4400</v>
      </c>
      <c r="J21" s="63">
        <v>-800</v>
      </c>
      <c r="K21" s="170">
        <f t="shared" si="3"/>
        <v>-4800</v>
      </c>
      <c r="L21" s="171">
        <v>34</v>
      </c>
      <c r="M21" s="153"/>
      <c r="N21" s="149">
        <f>L21+K21+G21+M21</f>
        <v>-9786</v>
      </c>
      <c r="O21" s="67">
        <f t="shared" si="1"/>
        <v>3492949.8200000008</v>
      </c>
      <c r="P21" s="7">
        <f t="shared" si="4"/>
        <v>52394247.300000012</v>
      </c>
      <c r="Q21" s="164">
        <f>Q20+N21+1</f>
        <v>3816522.45</v>
      </c>
      <c r="R21" s="29">
        <f t="shared" si="2"/>
        <v>2491.0555704372678</v>
      </c>
      <c r="S21" s="5">
        <f>SUM($Q$7:$Q21)/T21+1</f>
        <v>3905775.850000001</v>
      </c>
      <c r="T21" s="18">
        <v>15</v>
      </c>
      <c r="U21" s="4"/>
      <c r="V21" s="131"/>
      <c r="W21" s="105">
        <v>-2385321</v>
      </c>
      <c r="X21" s="167"/>
      <c r="Y21" s="156">
        <f>Y20-K21-L21</f>
        <v>-2385321</v>
      </c>
      <c r="Z21" s="217"/>
      <c r="AA21" s="92"/>
    </row>
    <row r="22" spans="2:31">
      <c r="B22" s="116">
        <v>44651</v>
      </c>
      <c r="C22" s="14" t="str">
        <f t="shared" si="0"/>
        <v/>
      </c>
      <c r="D22" s="87">
        <f>-18-421</f>
        <v>-439</v>
      </c>
      <c r="E22" s="87">
        <v>50</v>
      </c>
      <c r="F22" s="23">
        <v>-821258</v>
      </c>
      <c r="G22" s="26">
        <f>D22+E22+F22-E21-F21</f>
        <v>-53225</v>
      </c>
      <c r="H22" s="132">
        <v>300</v>
      </c>
      <c r="I22" s="63">
        <v>-16100</v>
      </c>
      <c r="J22" s="63">
        <v>-800</v>
      </c>
      <c r="K22" s="170">
        <f t="shared" si="3"/>
        <v>-16600</v>
      </c>
      <c r="L22" s="171">
        <v>26</v>
      </c>
      <c r="M22" s="153"/>
      <c r="N22" s="149">
        <f>L22+K22+G22+M22</f>
        <v>-69799</v>
      </c>
      <c r="O22" s="67">
        <f t="shared" si="1"/>
        <v>3499016.3593750009</v>
      </c>
      <c r="P22" s="7">
        <f t="shared" si="4"/>
        <v>55984261.750000015</v>
      </c>
      <c r="Q22" s="164">
        <f>Q21+N22+83</f>
        <v>3746806.45</v>
      </c>
      <c r="R22" s="29">
        <f t="shared" si="2"/>
        <v>2484.7175397979495</v>
      </c>
      <c r="S22" s="5">
        <f>SUM($Q$7:$Q22)/T22-1</f>
        <v>3895838.3250000011</v>
      </c>
      <c r="T22" s="18">
        <v>16</v>
      </c>
      <c r="U22" s="4"/>
      <c r="V22" s="131"/>
      <c r="W22" s="105">
        <v>-2368747</v>
      </c>
      <c r="X22" s="167"/>
      <c r="Y22" s="156">
        <f>Y21-K22-L22</f>
        <v>-2368747</v>
      </c>
      <c r="Z22" s="217"/>
      <c r="AA22" s="92"/>
    </row>
    <row r="23" spans="2:31">
      <c r="B23" s="116">
        <v>44652</v>
      </c>
      <c r="C23" s="14"/>
      <c r="D23" s="87"/>
      <c r="E23" s="87">
        <v>253</v>
      </c>
      <c r="F23" s="23">
        <v>-758179</v>
      </c>
      <c r="G23" s="26">
        <f>D23+E23+F23-E22-F22</f>
        <v>63282</v>
      </c>
      <c r="H23" s="132">
        <v>15100</v>
      </c>
      <c r="I23" s="63">
        <v>61900</v>
      </c>
      <c r="J23" s="63">
        <v>-800</v>
      </c>
      <c r="K23" s="170">
        <f t="shared" si="3"/>
        <v>76200</v>
      </c>
      <c r="L23" s="171">
        <v>-31</v>
      </c>
      <c r="M23" s="153"/>
      <c r="N23" s="149">
        <f>L23+K23+G23+M23</f>
        <v>139451</v>
      </c>
      <c r="O23" s="67">
        <f t="shared" si="1"/>
        <v>3512572.1294117658</v>
      </c>
      <c r="P23" s="7">
        <f t="shared" si="4"/>
        <v>59713726.200000018</v>
      </c>
      <c r="Q23" s="164">
        <f>Q22+N23-1</f>
        <v>3886256.45</v>
      </c>
      <c r="R23" s="29">
        <f t="shared" si="2"/>
        <v>2484.3586576295916</v>
      </c>
      <c r="S23" s="5">
        <f>SUM($Q$7:$Q23)/T23</f>
        <v>3895275.6264705895</v>
      </c>
      <c r="T23" s="18">
        <v>17</v>
      </c>
      <c r="U23" s="27"/>
      <c r="V23" s="135"/>
      <c r="W23" s="105">
        <v>-2444916</v>
      </c>
      <c r="X23" s="167"/>
      <c r="Y23" s="156">
        <f>Y22-K23-L23</f>
        <v>-2444916</v>
      </c>
      <c r="Z23" s="217"/>
      <c r="AA23" s="92"/>
    </row>
    <row r="24" spans="2:31">
      <c r="B24" s="116">
        <v>44653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3524621.7027777787</v>
      </c>
      <c r="P24" s="7">
        <f t="shared" si="4"/>
        <v>63443190.650000021</v>
      </c>
      <c r="Q24" s="164">
        <f>Q23+N24</f>
        <v>3886256.45</v>
      </c>
      <c r="R24" s="29">
        <f t="shared" si="2"/>
        <v>2484.0390843353694</v>
      </c>
      <c r="S24" s="5">
        <f>SUM($Q$7:$Q24)/T24</f>
        <v>3894774.5611111126</v>
      </c>
      <c r="T24" s="18">
        <v>18</v>
      </c>
      <c r="U24" s="4"/>
      <c r="V24" s="135"/>
      <c r="W24" s="105">
        <v>-2444916</v>
      </c>
      <c r="X24" s="167"/>
      <c r="Y24" s="156">
        <f t="shared" si="6"/>
        <v>-2444916</v>
      </c>
      <c r="Z24" s="217"/>
      <c r="AA24" s="92"/>
      <c r="AD24" s="1"/>
      <c r="AE24" s="1"/>
    </row>
    <row r="25" spans="2:31">
      <c r="B25" s="116">
        <v>44654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3535402.9000000013</v>
      </c>
      <c r="P25" s="7">
        <f t="shared" si="4"/>
        <v>67172655.100000024</v>
      </c>
      <c r="Q25" s="164">
        <f>Q24+N25</f>
        <v>3886256.45</v>
      </c>
      <c r="R25" s="29">
        <f t="shared" si="2"/>
        <v>2483.7525125476336</v>
      </c>
      <c r="S25" s="5">
        <f>SUM($Q$7:$Q25)/T25-1</f>
        <v>3894325.2394736856</v>
      </c>
      <c r="T25" s="18">
        <v>19</v>
      </c>
      <c r="U25" s="4"/>
      <c r="V25" s="131"/>
      <c r="W25" s="105">
        <v>-2444916</v>
      </c>
      <c r="X25" s="167"/>
      <c r="Y25" s="156">
        <f t="shared" si="6"/>
        <v>-2444916</v>
      </c>
      <c r="Z25" s="217"/>
      <c r="AA25" s="92"/>
      <c r="AD25" s="1"/>
      <c r="AE25" s="1"/>
    </row>
    <row r="26" spans="2:31">
      <c r="B26" s="116">
        <v>44655</v>
      </c>
      <c r="C26" s="14"/>
      <c r="D26" s="87"/>
      <c r="E26" s="87">
        <v>216</v>
      </c>
      <c r="F26" s="23">
        <v>-747839</v>
      </c>
      <c r="G26" s="26">
        <f>D26+E26+F26-E23-F23</f>
        <v>10303</v>
      </c>
      <c r="H26" s="132">
        <v>300</v>
      </c>
      <c r="I26" s="63">
        <v>21100</v>
      </c>
      <c r="J26" s="63">
        <v>-600</v>
      </c>
      <c r="K26" s="170">
        <f t="shared" si="3"/>
        <v>20800</v>
      </c>
      <c r="L26" s="171">
        <v>23</v>
      </c>
      <c r="M26" s="153"/>
      <c r="N26" s="149">
        <f t="shared" si="7"/>
        <v>31126</v>
      </c>
      <c r="O26" s="67">
        <f t="shared" si="1"/>
        <v>3546662.3275000015</v>
      </c>
      <c r="P26" s="7">
        <f t="shared" si="4"/>
        <v>70933246.550000027</v>
      </c>
      <c r="Q26" s="164">
        <f>Q25+N26+1</f>
        <v>3917383.45</v>
      </c>
      <c r="R26" s="29">
        <f t="shared" si="2"/>
        <v>2484.4877927445291</v>
      </c>
      <c r="S26" s="5">
        <f>SUM($Q$7:$Q26)/T26-1</f>
        <v>3895478.1000000015</v>
      </c>
      <c r="T26" s="18">
        <v>20</v>
      </c>
      <c r="U26" s="138">
        <f>B26</f>
        <v>44655</v>
      </c>
      <c r="V26" s="131">
        <v>2412.8000000000002</v>
      </c>
      <c r="W26" s="105">
        <v>-2475739</v>
      </c>
      <c r="X26" s="167">
        <f>AVERAGE(W26:W34)</f>
        <v>-2499370.111111111</v>
      </c>
      <c r="Y26" s="156">
        <f>Y25-K26-L26</f>
        <v>-2465739</v>
      </c>
      <c r="Z26" s="217">
        <f>AVERAGE(Y26:Y34)</f>
        <v>-2498259</v>
      </c>
      <c r="AC26" s="92"/>
      <c r="AD26" s="1"/>
      <c r="AE26" s="1"/>
    </row>
    <row r="27" spans="2:31">
      <c r="B27" s="116">
        <v>44656</v>
      </c>
      <c r="C27" s="14" t="str">
        <f t="shared" si="0"/>
        <v/>
      </c>
      <c r="D27" s="87"/>
      <c r="E27" s="87">
        <v>15</v>
      </c>
      <c r="F27" s="23">
        <v>-728597</v>
      </c>
      <c r="G27" s="26">
        <f>D27+E27+F27-E26-F26</f>
        <v>19041</v>
      </c>
      <c r="H27" s="132">
        <v>300</v>
      </c>
      <c r="I27" s="63">
        <v>2200</v>
      </c>
      <c r="J27" s="63">
        <v>-700</v>
      </c>
      <c r="K27" s="170">
        <f t="shared" si="3"/>
        <v>1800</v>
      </c>
      <c r="L27" s="171">
        <v>-11</v>
      </c>
      <c r="M27" s="153"/>
      <c r="N27" s="149">
        <f>L27+K27+G27+M27</f>
        <v>20830</v>
      </c>
      <c r="O27" s="67">
        <f t="shared" si="1"/>
        <v>3557841.3809523825</v>
      </c>
      <c r="P27" s="7">
        <f t="shared" si="4"/>
        <v>74714669.00000003</v>
      </c>
      <c r="Q27" s="164">
        <f>Q26+N27+1</f>
        <v>3938214.45</v>
      </c>
      <c r="R27" s="29">
        <f t="shared" si="2"/>
        <v>2485.7857012262539</v>
      </c>
      <c r="S27" s="5">
        <f>SUM($Q$7:$Q27)/T27-1</f>
        <v>3897513.1166666681</v>
      </c>
      <c r="T27" s="18">
        <v>21</v>
      </c>
      <c r="U27" s="138">
        <f>B28+6</f>
        <v>44663</v>
      </c>
      <c r="V27" s="159"/>
      <c r="W27" s="105">
        <v>-2467529</v>
      </c>
      <c r="X27" s="167"/>
      <c r="Y27" s="156">
        <f>Y26-K27-L27-1</f>
        <v>-2467529</v>
      </c>
      <c r="Z27" s="217"/>
      <c r="AA27" s="92"/>
      <c r="AD27" s="1"/>
      <c r="AE27" s="1"/>
    </row>
    <row r="28" spans="2:31">
      <c r="B28" s="116">
        <v>44657</v>
      </c>
      <c r="C28" s="14" t="str">
        <f t="shared" si="0"/>
        <v/>
      </c>
      <c r="D28" s="87">
        <f>-373+408</f>
        <v>35</v>
      </c>
      <c r="E28" s="87">
        <v>18</v>
      </c>
      <c r="F28" s="23">
        <v>-720378</v>
      </c>
      <c r="G28" s="26">
        <f>D28+E28+F28-E27-F27</f>
        <v>8257</v>
      </c>
      <c r="H28" s="132">
        <v>300</v>
      </c>
      <c r="I28" s="63">
        <v>18800</v>
      </c>
      <c r="J28" s="63">
        <v>-700</v>
      </c>
      <c r="K28" s="170">
        <f t="shared" si="3"/>
        <v>18400</v>
      </c>
      <c r="L28" s="171">
        <v>-32</v>
      </c>
      <c r="M28" s="153"/>
      <c r="N28" s="149">
        <f>L28+K28+G28+M28</f>
        <v>26625</v>
      </c>
      <c r="O28" s="67">
        <f t="shared" si="1"/>
        <v>3569214.3386363653</v>
      </c>
      <c r="P28" s="7">
        <f t="shared" si="4"/>
        <v>78522715.450000033</v>
      </c>
      <c r="Q28" s="164">
        <f>Q27+N28-1</f>
        <v>3964838.45</v>
      </c>
      <c r="R28" s="29">
        <f t="shared" si="2"/>
        <v>2487.7374570363063</v>
      </c>
      <c r="S28" s="5">
        <f>SUM($Q$7:$Q28)/T28-1</f>
        <v>3900573.3136363653</v>
      </c>
      <c r="T28" s="18">
        <v>22</v>
      </c>
      <c r="U28" s="4"/>
      <c r="V28" s="131"/>
      <c r="W28" s="105">
        <v>-2485897</v>
      </c>
      <c r="X28" s="167"/>
      <c r="Y28" s="156">
        <f>Y27-K28-L28</f>
        <v>-2485897</v>
      </c>
      <c r="Z28" s="217"/>
      <c r="AA28" s="92"/>
      <c r="AD28" s="1"/>
      <c r="AE28" s="1"/>
    </row>
    <row r="29" spans="2:31">
      <c r="B29" s="116">
        <v>44658</v>
      </c>
      <c r="C29" s="14" t="str">
        <f t="shared" si="0"/>
        <v/>
      </c>
      <c r="D29" s="87"/>
      <c r="E29" s="87">
        <v>17</v>
      </c>
      <c r="F29" s="23">
        <v>-735354</v>
      </c>
      <c r="G29" s="26">
        <f>D29+E29+F29-E28-F28</f>
        <v>-14977</v>
      </c>
      <c r="H29" s="132">
        <v>300</v>
      </c>
      <c r="I29" s="63">
        <v>2700</v>
      </c>
      <c r="J29" s="63">
        <v>-700</v>
      </c>
      <c r="K29" s="170">
        <f t="shared" si="3"/>
        <v>2300</v>
      </c>
      <c r="L29" s="171">
        <v>49</v>
      </c>
      <c r="M29" s="153"/>
      <c r="N29" s="149">
        <f>L29+K29+G29+M29</f>
        <v>-12628</v>
      </c>
      <c r="O29" s="67">
        <f t="shared" si="1"/>
        <v>3579049.4304347844</v>
      </c>
      <c r="P29" s="7">
        <f t="shared" si="4"/>
        <v>82318136.900000036</v>
      </c>
      <c r="Q29" s="164">
        <f>Q28+N29+3</f>
        <v>3952213.45</v>
      </c>
      <c r="R29" s="29">
        <f t="shared" si="2"/>
        <v>2489.1694049940443</v>
      </c>
      <c r="S29" s="5">
        <f>SUM($Q$7:$Q29)/T29-1</f>
        <v>3902818.4934782623</v>
      </c>
      <c r="T29" s="18">
        <v>23</v>
      </c>
      <c r="U29" s="4"/>
      <c r="V29" s="131"/>
      <c r="W29" s="105">
        <v>-2488248</v>
      </c>
      <c r="X29" s="167"/>
      <c r="Y29" s="156">
        <f>Y28-K29-L29-2</f>
        <v>-2488248</v>
      </c>
      <c r="Z29" s="217"/>
      <c r="AA29" s="92"/>
      <c r="AD29" s="1"/>
      <c r="AE29" s="1"/>
    </row>
    <row r="30" spans="2:31">
      <c r="B30" s="116">
        <v>44659</v>
      </c>
      <c r="C30" s="14" t="str">
        <f t="shared" si="0"/>
        <v/>
      </c>
      <c r="D30" s="87"/>
      <c r="E30" s="87">
        <v>10</v>
      </c>
      <c r="F30" s="23">
        <v>-733318</v>
      </c>
      <c r="G30" s="26">
        <f>D30+E30+F30-E29-F29</f>
        <v>2029</v>
      </c>
      <c r="H30" s="132">
        <v>300</v>
      </c>
      <c r="I30" s="25">
        <v>33300</v>
      </c>
      <c r="J30" s="25">
        <v>-700</v>
      </c>
      <c r="K30" s="170">
        <f t="shared" si="3"/>
        <v>32900</v>
      </c>
      <c r="L30" s="171">
        <v>-47</v>
      </c>
      <c r="M30" s="153"/>
      <c r="N30" s="149">
        <f>L30+K30+G30+M30</f>
        <v>34882</v>
      </c>
      <c r="O30" s="67">
        <f t="shared" si="1"/>
        <v>3589518.3479166683</v>
      </c>
      <c r="P30" s="7">
        <f t="shared" si="4"/>
        <v>86148440.350000039</v>
      </c>
      <c r="Q30" s="164">
        <f>Q29+N30</f>
        <v>3987095.45</v>
      </c>
      <c r="R30" s="29">
        <f t="shared" si="2"/>
        <v>2491.4134596578069</v>
      </c>
      <c r="S30" s="5">
        <f>SUM($Q$7:$Q30)/T30+6</f>
        <v>3906336.9916666686</v>
      </c>
      <c r="T30" s="18">
        <v>24</v>
      </c>
      <c r="U30" s="4"/>
      <c r="V30" s="131"/>
      <c r="W30" s="105">
        <v>-2521101</v>
      </c>
      <c r="X30" s="167"/>
      <c r="Y30" s="156">
        <f>Y29-K30-L30</f>
        <v>-2521101</v>
      </c>
      <c r="Z30" s="217"/>
      <c r="AA30" s="92"/>
      <c r="AD30" s="1"/>
      <c r="AE30" s="1"/>
    </row>
    <row r="31" spans="2:31">
      <c r="B31" s="116">
        <v>44660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3599149.7520000017</v>
      </c>
      <c r="P31" s="7">
        <f t="shared" si="4"/>
        <v>89978743.800000042</v>
      </c>
      <c r="Q31" s="164">
        <f t="shared" ref="Q31:Q39" si="9">Q30+N31</f>
        <v>3987095.45</v>
      </c>
      <c r="R31" s="29">
        <f t="shared" si="2"/>
        <v>2493.471331445483</v>
      </c>
      <c r="S31" s="5">
        <f>SUM($Q$7:$Q31)/T31+2</f>
        <v>3909563.5700000017</v>
      </c>
      <c r="T31" s="18">
        <v>25</v>
      </c>
      <c r="U31" s="4"/>
      <c r="V31" s="137"/>
      <c r="W31" s="105">
        <v>-2521101</v>
      </c>
      <c r="X31" s="167"/>
      <c r="Y31" s="156">
        <f t="shared" si="6"/>
        <v>-2521101</v>
      </c>
      <c r="Z31" s="217"/>
      <c r="AA31" s="92"/>
      <c r="AB31" s="92"/>
      <c r="AD31" s="1"/>
      <c r="AE31" s="1"/>
    </row>
    <row r="32" spans="2:31">
      <c r="B32" s="116">
        <v>44661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3608040.2788461554</v>
      </c>
      <c r="P32" s="7">
        <f t="shared" si="4"/>
        <v>93809047.250000045</v>
      </c>
      <c r="Q32" s="164">
        <f t="shared" si="9"/>
        <v>3987095.45</v>
      </c>
      <c r="R32" s="29">
        <f t="shared" si="2"/>
        <v>2495.3681580104176</v>
      </c>
      <c r="S32" s="5">
        <f>SUM($Q$7:$Q32)/T32-6</f>
        <v>3912537.6423076941</v>
      </c>
      <c r="T32" s="18">
        <v>26</v>
      </c>
      <c r="U32" s="27"/>
      <c r="V32" s="137"/>
      <c r="W32" s="105">
        <v>-2521101</v>
      </c>
      <c r="X32" s="167"/>
      <c r="Y32" s="156">
        <f t="shared" si="6"/>
        <v>-2521101</v>
      </c>
      <c r="Z32" s="217"/>
      <c r="AD32" s="1"/>
      <c r="AE32" s="1"/>
    </row>
    <row r="33" spans="2:31">
      <c r="B33" s="116">
        <v>44662</v>
      </c>
      <c r="C33" s="14" t="str">
        <f t="shared" si="0"/>
        <v/>
      </c>
      <c r="D33" s="87"/>
      <c r="E33" s="87">
        <v>0</v>
      </c>
      <c r="F33" s="23">
        <v>-736494</v>
      </c>
      <c r="G33" s="26">
        <f>D33+E33+F33-E30-F30</f>
        <v>-3186</v>
      </c>
      <c r="H33" s="132">
        <v>300</v>
      </c>
      <c r="I33" s="25">
        <v>-11200</v>
      </c>
      <c r="J33" s="25">
        <v>-2000</v>
      </c>
      <c r="K33" s="170">
        <f t="shared" si="3"/>
        <v>-12900</v>
      </c>
      <c r="L33" s="171">
        <v>12</v>
      </c>
      <c r="M33" s="153"/>
      <c r="N33" s="149">
        <f t="shared" si="7"/>
        <v>-16074</v>
      </c>
      <c r="O33" s="67">
        <f t="shared" si="1"/>
        <v>3615676.8777777795</v>
      </c>
      <c r="P33" s="7">
        <f t="shared" si="4"/>
        <v>97623275.700000048</v>
      </c>
      <c r="Q33" s="164">
        <f>Q32+N33-1</f>
        <v>3971020.45</v>
      </c>
      <c r="R33" s="29">
        <f t="shared" si="2"/>
        <v>2496.7526723302221</v>
      </c>
      <c r="S33" s="5">
        <f>SUM($Q$7:$Q33)/T33-1</f>
        <v>3914708.450000002</v>
      </c>
      <c r="T33" s="18">
        <v>27</v>
      </c>
      <c r="U33" s="138">
        <f>B33</f>
        <v>44662</v>
      </c>
      <c r="V33" s="131">
        <v>2425.1999999999998</v>
      </c>
      <c r="W33" s="105">
        <v>-2508213</v>
      </c>
      <c r="X33" s="167">
        <f>AVERAGE(W33:W41)</f>
        <v>-2494561.625</v>
      </c>
      <c r="Y33" s="156">
        <f>Y32-K33-L33</f>
        <v>-2508213</v>
      </c>
      <c r="Z33" s="217">
        <f>AVERAGE(Y33:Y41)</f>
        <v>-2495786.6666666665</v>
      </c>
      <c r="AD33" s="1"/>
      <c r="AE33" s="1"/>
    </row>
    <row r="34" spans="2:31">
      <c r="B34" s="116">
        <v>44663</v>
      </c>
      <c r="C34" s="14" t="str">
        <f t="shared" si="0"/>
        <v/>
      </c>
      <c r="D34" s="87"/>
      <c r="E34" s="87">
        <v>61</v>
      </c>
      <c r="F34" s="23">
        <v>-733544</v>
      </c>
      <c r="G34" s="26">
        <f>D34+E34+F34-E33-F33</f>
        <v>3011</v>
      </c>
      <c r="H34" s="132">
        <v>300</v>
      </c>
      <c r="I34" s="25">
        <v>-1100</v>
      </c>
      <c r="J34" s="25">
        <v>-2000</v>
      </c>
      <c r="K34" s="170">
        <f t="shared" si="3"/>
        <v>-2800</v>
      </c>
      <c r="L34" s="171">
        <v>-11</v>
      </c>
      <c r="M34" s="153"/>
      <c r="N34" s="149">
        <f>L34+K34+G34+M34</f>
        <v>200</v>
      </c>
      <c r="O34" s="67">
        <f t="shared" si="1"/>
        <v>3622775.1482142876</v>
      </c>
      <c r="P34" s="7">
        <f t="shared" si="4"/>
        <v>101437704.15000005</v>
      </c>
      <c r="Q34" s="164">
        <f>Q33+N34</f>
        <v>3971220.45</v>
      </c>
      <c r="R34" s="29">
        <f t="shared" si="2"/>
        <v>2498.0405250267881</v>
      </c>
      <c r="S34" s="5">
        <f>SUM($Q$7:$Q34)/T34</f>
        <v>3916727.700000002</v>
      </c>
      <c r="T34" s="18">
        <v>28</v>
      </c>
      <c r="U34" s="138">
        <f>B33+8</f>
        <v>44670</v>
      </c>
      <c r="V34" s="131"/>
      <c r="W34" s="105">
        <v>-2505402</v>
      </c>
      <c r="X34" s="167"/>
      <c r="Y34" s="156">
        <f>Y33-K34-L34</f>
        <v>-2505402</v>
      </c>
      <c r="Z34" s="217"/>
      <c r="AA34" s="92"/>
      <c r="AD34" s="1"/>
      <c r="AE34" s="1"/>
    </row>
    <row r="35" spans="2:31">
      <c r="B35" s="116">
        <v>44664</v>
      </c>
      <c r="C35" s="14" t="str">
        <f t="shared" si="0"/>
        <v/>
      </c>
      <c r="D35" s="87">
        <f>-408+540</f>
        <v>132</v>
      </c>
      <c r="E35" s="87">
        <v>10</v>
      </c>
      <c r="F35" s="23">
        <v>-729908</v>
      </c>
      <c r="G35" s="26">
        <f>D35+E35+F35-E34-F34</f>
        <v>3717</v>
      </c>
      <c r="H35" s="132">
        <v>300</v>
      </c>
      <c r="I35" s="25">
        <v>-1400</v>
      </c>
      <c r="J35" s="25">
        <v>-2000</v>
      </c>
      <c r="K35" s="170">
        <f t="shared" si="3"/>
        <v>-3100</v>
      </c>
      <c r="L35" s="171">
        <v>-20</v>
      </c>
      <c r="M35" s="153"/>
      <c r="N35" s="149">
        <f t="shared" si="7"/>
        <v>597</v>
      </c>
      <c r="O35" s="67">
        <f t="shared" si="1"/>
        <v>3629404.5379310362</v>
      </c>
      <c r="P35" s="7">
        <f t="shared" si="4"/>
        <v>105252731.60000005</v>
      </c>
      <c r="Q35" s="164">
        <f>Q34+N35+2</f>
        <v>3971819.45</v>
      </c>
      <c r="R35" s="29">
        <f t="shared" si="2"/>
        <v>2499.2521401074314</v>
      </c>
      <c r="S35" s="5">
        <f>SUM($Q$7:$Q35)/T35</f>
        <v>3918627.4155172436</v>
      </c>
      <c r="T35" s="18">
        <v>29</v>
      </c>
      <c r="U35" s="4"/>
      <c r="V35" s="131"/>
      <c r="W35" s="105">
        <v>-2502283</v>
      </c>
      <c r="X35" s="167"/>
      <c r="Y35" s="156">
        <f>Y34-K35-L35-1</f>
        <v>-2502283</v>
      </c>
      <c r="Z35" s="217"/>
      <c r="AA35" s="92"/>
      <c r="AD35" s="1"/>
      <c r="AE35" s="1"/>
    </row>
    <row r="36" spans="2:31">
      <c r="B36" s="116">
        <v>44665</v>
      </c>
      <c r="C36" s="14" t="str">
        <f t="shared" si="0"/>
        <v/>
      </c>
      <c r="D36" s="87"/>
      <c r="E36" s="87">
        <v>1</v>
      </c>
      <c r="F36" s="23">
        <v>-720422</v>
      </c>
      <c r="G36" s="26">
        <f>D36+E36+F36-E35-F35</f>
        <v>9477</v>
      </c>
      <c r="H36" s="132">
        <v>300</v>
      </c>
      <c r="I36" s="25">
        <v>-12500</v>
      </c>
      <c r="J36" s="25">
        <v>-2000</v>
      </c>
      <c r="K36" s="170">
        <f t="shared" si="3"/>
        <v>-14200</v>
      </c>
      <c r="L36" s="171">
        <v>39</v>
      </c>
      <c r="M36" s="153"/>
      <c r="N36" s="149">
        <f t="shared" si="7"/>
        <v>-4684</v>
      </c>
      <c r="O36" s="67">
        <f t="shared" si="1"/>
        <v>3635435.7683333354</v>
      </c>
      <c r="P36" s="7">
        <f t="shared" si="4"/>
        <v>109063073.05000006</v>
      </c>
      <c r="Q36" s="164">
        <f>Q35+N36-2</f>
        <v>3967133.45</v>
      </c>
      <c r="R36" s="29">
        <f t="shared" si="2"/>
        <v>2500.2680515162356</v>
      </c>
      <c r="S36" s="5">
        <f>SUM($Q$7:$Q36)/T36-24</f>
        <v>3920220.2833333355</v>
      </c>
      <c r="T36" s="18">
        <v>30</v>
      </c>
      <c r="U36" s="4"/>
      <c r="V36" s="136"/>
      <c r="W36" s="105">
        <v>-2488119</v>
      </c>
      <c r="X36" s="167"/>
      <c r="Y36" s="156">
        <f>Y35-K36-L36+3</f>
        <v>-2488119</v>
      </c>
      <c r="Z36" s="217"/>
      <c r="AD36" s="1"/>
      <c r="AE36" s="1"/>
    </row>
    <row r="37" spans="2:31">
      <c r="B37" s="116">
        <v>44666</v>
      </c>
      <c r="C37" s="14" t="s">
        <v>242</v>
      </c>
      <c r="D37" s="87"/>
      <c r="E37" s="87"/>
      <c r="F37" s="23"/>
      <c r="G37" s="26"/>
      <c r="H37" s="132"/>
      <c r="I37" s="25"/>
      <c r="J37" s="25"/>
      <c r="K37" s="170"/>
      <c r="L37" s="171"/>
      <c r="M37" s="153"/>
      <c r="N37" s="149">
        <f t="shared" si="7"/>
        <v>0</v>
      </c>
      <c r="O37" s="67">
        <f t="shared" si="1"/>
        <v>3641077.8870967762</v>
      </c>
      <c r="P37" s="7">
        <f t="shared" si="4"/>
        <v>112873414.50000006</v>
      </c>
      <c r="Q37" s="164">
        <f>Q36+N37</f>
        <v>3967133.45</v>
      </c>
      <c r="R37" s="29">
        <f t="shared" si="2"/>
        <v>2501.2486843058168</v>
      </c>
      <c r="S37" s="5">
        <f>SUM($Q$7:$Q37)/T37+1</f>
        <v>3921757.8370967763</v>
      </c>
      <c r="T37" s="18">
        <v>31</v>
      </c>
      <c r="U37" s="27"/>
      <c r="V37" s="137"/>
      <c r="W37" s="105">
        <v>-2488119</v>
      </c>
      <c r="X37" s="167"/>
      <c r="Y37" s="156">
        <f>Y36-K37-L37+2</f>
        <v>-2488117</v>
      </c>
      <c r="Z37" s="217"/>
      <c r="AA37" s="92"/>
      <c r="AD37" s="1"/>
      <c r="AE37" s="1"/>
    </row>
    <row r="38" spans="2:31">
      <c r="B38" s="116">
        <v>44667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3646367.373437502</v>
      </c>
      <c r="P38" s="7">
        <f t="shared" si="4"/>
        <v>116683755.95000006</v>
      </c>
      <c r="Q38" s="164">
        <f t="shared" si="9"/>
        <v>3967133.45</v>
      </c>
      <c r="R38" s="29">
        <f t="shared" si="2"/>
        <v>2502.1524416105426</v>
      </c>
      <c r="S38" s="5">
        <f>SUM($Q$7:$Q38)/T38</f>
        <v>3923174.856250002</v>
      </c>
      <c r="T38" s="18">
        <v>32</v>
      </c>
      <c r="U38" s="27"/>
      <c r="V38" s="137"/>
      <c r="W38" s="105">
        <v>-2488119</v>
      </c>
      <c r="X38" s="167"/>
      <c r="Y38" s="156">
        <f t="shared" si="6"/>
        <v>-2488117</v>
      </c>
      <c r="Z38" s="217"/>
      <c r="AD38" s="1"/>
      <c r="AE38" s="1"/>
    </row>
    <row r="39" spans="2:31">
      <c r="B39" s="116">
        <v>44668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3651336.284848487</v>
      </c>
      <c r="P39" s="7">
        <f t="shared" si="4"/>
        <v>120494097.40000007</v>
      </c>
      <c r="Q39" s="164">
        <f t="shared" si="9"/>
        <v>3967133.45</v>
      </c>
      <c r="R39" s="29">
        <f t="shared" si="2"/>
        <v>2503.0033004544157</v>
      </c>
      <c r="S39" s="5">
        <f>SUM($Q$7:$Q39)/T39+2</f>
        <v>3924508.9348484869</v>
      </c>
      <c r="T39" s="18">
        <v>33</v>
      </c>
      <c r="U39" s="27"/>
      <c r="V39" s="137"/>
      <c r="W39" s="105">
        <v>-2488119</v>
      </c>
      <c r="X39" s="167"/>
      <c r="Y39" s="156">
        <f t="shared" si="6"/>
        <v>-2488117</v>
      </c>
      <c r="Z39" s="217"/>
      <c r="AD39" s="1"/>
      <c r="AE39" s="1"/>
    </row>
    <row r="40" spans="2:31">
      <c r="B40" s="116">
        <v>44669</v>
      </c>
      <c r="C40" s="14" t="s">
        <v>242</v>
      </c>
      <c r="D40" s="87"/>
      <c r="E40" s="87"/>
      <c r="F40" s="23"/>
      <c r="G40" s="26"/>
      <c r="H40" s="132"/>
      <c r="I40" s="25"/>
      <c r="J40" s="25"/>
      <c r="K40" s="170"/>
      <c r="L40" s="171"/>
      <c r="M40" s="153"/>
      <c r="N40" s="149">
        <f t="shared" si="7"/>
        <v>0</v>
      </c>
      <c r="O40" s="67">
        <f t="shared" si="1"/>
        <v>3656012.907352943</v>
      </c>
      <c r="P40" s="7">
        <f t="shared" si="4"/>
        <v>124304438.85000007</v>
      </c>
      <c r="Q40" s="164">
        <f>Q39+N40</f>
        <v>3967133.45</v>
      </c>
      <c r="R40" s="29">
        <f t="shared" si="2"/>
        <v>2503.8022704489736</v>
      </c>
      <c r="S40" s="5">
        <f>SUM($Q$7:$Q40)/T40+1</f>
        <v>3925761.6558823548</v>
      </c>
      <c r="T40" s="18">
        <v>34</v>
      </c>
      <c r="U40" s="138"/>
      <c r="V40" s="131"/>
      <c r="W40" s="105">
        <v>-2488119</v>
      </c>
      <c r="X40" s="167"/>
      <c r="Y40" s="156">
        <f>Y39-K40-L40+1</f>
        <v>-2488116</v>
      </c>
      <c r="Z40" s="217"/>
      <c r="AD40" s="1"/>
      <c r="AE40" s="1"/>
    </row>
    <row r="41" spans="2:31">
      <c r="B41" s="116">
        <v>44670</v>
      </c>
      <c r="C41" s="14" t="str">
        <f t="shared" si="0"/>
        <v/>
      </c>
      <c r="D41" s="87"/>
      <c r="E41" s="87">
        <v>5</v>
      </c>
      <c r="F41" s="23">
        <v>-724788</v>
      </c>
      <c r="G41" s="26">
        <f>D41+E41+F41-E36-F36</f>
        <v>-4362</v>
      </c>
      <c r="H41" s="132">
        <v>300</v>
      </c>
      <c r="I41" s="25">
        <v>16900</v>
      </c>
      <c r="J41" s="25">
        <v>300</v>
      </c>
      <c r="K41" s="170">
        <f t="shared" si="3"/>
        <v>17500</v>
      </c>
      <c r="L41" s="171">
        <v>-19</v>
      </c>
      <c r="M41" s="153"/>
      <c r="N41" s="149">
        <f t="shared" si="7"/>
        <v>13119</v>
      </c>
      <c r="O41" s="67">
        <f t="shared" si="1"/>
        <v>3660796.9800000018</v>
      </c>
      <c r="P41" s="7">
        <f t="shared" si="4"/>
        <v>128127894.30000007</v>
      </c>
      <c r="Q41" s="164">
        <f>Q40+N41-5</f>
        <v>3980247.45</v>
      </c>
      <c r="R41" s="29">
        <f t="shared" si="2"/>
        <v>2504.7913295503427</v>
      </c>
      <c r="S41" s="5">
        <f>SUM($Q$7:$Q41)/T41-5</f>
        <v>3927312.4214285733</v>
      </c>
      <c r="T41" s="18">
        <v>35</v>
      </c>
      <c r="U41" s="138"/>
      <c r="V41" s="137"/>
      <c r="W41" s="105"/>
      <c r="X41" s="167"/>
      <c r="Y41" s="156">
        <f>Y40-K41-L41+1</f>
        <v>-2505596</v>
      </c>
      <c r="Z41" s="217"/>
      <c r="AD41" s="1"/>
      <c r="AE41" s="1"/>
    </row>
    <row r="43" spans="2:31" ht="12.75" thickBot="1"/>
    <row r="44" spans="2:31" ht="13.5" thickTop="1" thickBot="1">
      <c r="D44" s="141" t="s">
        <v>58</v>
      </c>
      <c r="E44" s="20"/>
      <c r="F44" s="21"/>
      <c r="G44" s="22"/>
    </row>
    <row r="45" spans="2:31">
      <c r="D45" s="27" t="s">
        <v>59</v>
      </c>
      <c r="E45" s="139"/>
      <c r="F45" s="142"/>
      <c r="G45" s="90">
        <f>'MAR 2022 '!Q41</f>
        <v>3832283.45</v>
      </c>
    </row>
    <row r="46" spans="2:31">
      <c r="D46" s="138" t="s">
        <v>4</v>
      </c>
      <c r="E46" s="139"/>
      <c r="F46" s="143"/>
      <c r="G46" s="91">
        <f>'MAR 2022 '!E41</f>
        <v>10</v>
      </c>
    </row>
    <row r="47" spans="2:31">
      <c r="D47" s="138" t="s">
        <v>60</v>
      </c>
      <c r="E47" s="144"/>
      <c r="F47" s="143"/>
      <c r="G47" s="91">
        <f>'MAR 2022 '!F41</f>
        <v>-787663</v>
      </c>
    </row>
    <row r="48" spans="2:31" ht="12.75" thickBot="1">
      <c r="D48" s="140" t="s">
        <v>46</v>
      </c>
      <c r="E48" s="145"/>
      <c r="F48" s="146"/>
      <c r="G48" s="158">
        <f>'MAR 2022 '!Y41</f>
        <v>-2418596</v>
      </c>
    </row>
    <row r="49" ht="12.75" thickTop="1"/>
    <row r="65492" spans="23:23">
      <c r="W65492" s="105"/>
    </row>
    <row r="65499" spans="23:23">
      <c r="W65499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IU6552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9" sqref="H19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8554687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127373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43453</v>
      </c>
      <c r="C7" s="196" t="str">
        <f t="shared" ref="C7:C48" si="0">IF(OR(WEEKDAY(B7)=1,WEEKDAY(B7)=7),"F","")</f>
        <v/>
      </c>
      <c r="D7" s="197">
        <f>-7097-3131+9573</f>
        <v>-655</v>
      </c>
      <c r="E7" s="197">
        <v>84</v>
      </c>
      <c r="F7" s="198">
        <v>-584205</v>
      </c>
      <c r="G7" s="199">
        <f>D7+E7+F7-G52-G53</f>
        <v>50197</v>
      </c>
      <c r="H7" s="200">
        <v>-8200</v>
      </c>
      <c r="I7" s="201">
        <v>12350</v>
      </c>
      <c r="J7" s="201">
        <v>-2800</v>
      </c>
      <c r="K7" s="201">
        <f>+H7+I7+J7</f>
        <v>1350</v>
      </c>
      <c r="L7" s="202">
        <v>3</v>
      </c>
      <c r="M7" s="203"/>
      <c r="N7" s="204">
        <f>L7+K7+G7+M7</f>
        <v>51550</v>
      </c>
      <c r="O7" s="205">
        <f t="shared" ref="O7:O48" si="1">P7/T7</f>
        <v>1270047.1499999999</v>
      </c>
      <c r="P7" s="206">
        <f>(+$Q7-$Q$3)</f>
        <v>1270047.1499999999</v>
      </c>
      <c r="Q7" s="207">
        <f>G51+N7</f>
        <v>1397420.15</v>
      </c>
      <c r="R7" s="208">
        <f t="shared" ref="R7:R48" si="2">$S7/$Q$3*100</f>
        <v>1097.1086101450071</v>
      </c>
      <c r="S7" s="209">
        <f>$Q7</f>
        <v>1397420.15</v>
      </c>
      <c r="T7" s="210">
        <v>1</v>
      </c>
      <c r="U7" s="211">
        <f>B7</f>
        <v>43453</v>
      </c>
      <c r="V7" s="212" t="s">
        <v>244</v>
      </c>
      <c r="W7" s="213">
        <v>-1248423</v>
      </c>
      <c r="X7" s="214">
        <f>AVERAGE(W7:W20)</f>
        <v>-1208831</v>
      </c>
      <c r="Y7" s="215">
        <f>-L7-K7+'Nov 2018'!Y55+1</f>
        <v>-1248423</v>
      </c>
      <c r="Z7" s="216">
        <f>AVERAGE(Y7:Y20)</f>
        <v>-1207325.7857142857</v>
      </c>
      <c r="AA7" s="92"/>
    </row>
    <row r="8" spans="2:255">
      <c r="B8" s="116">
        <v>43454</v>
      </c>
      <c r="C8" s="14"/>
      <c r="D8" s="128">
        <f>-1261+1554</f>
        <v>293</v>
      </c>
      <c r="E8" s="128">
        <v>24</v>
      </c>
      <c r="F8" s="162">
        <v>-621765</v>
      </c>
      <c r="G8" s="26">
        <f>D8+E8+F8-E7-F7</f>
        <v>-37327</v>
      </c>
      <c r="H8" s="132">
        <v>-17800</v>
      </c>
      <c r="I8" s="63">
        <v>32200</v>
      </c>
      <c r="J8" s="63">
        <v>-2800</v>
      </c>
      <c r="K8" s="63">
        <f>+H8+I8+J8+1</f>
        <v>11601</v>
      </c>
      <c r="L8" s="150">
        <v>48</v>
      </c>
      <c r="M8" s="153"/>
      <c r="N8" s="149">
        <f>L8+K8+G8+M8</f>
        <v>-25678</v>
      </c>
      <c r="O8" s="67">
        <f t="shared" si="1"/>
        <v>622184.57499999995</v>
      </c>
      <c r="P8" s="163">
        <f>(IF($Q8&lt;0,-$Q$3+P6,($Q8-$Q$3)+P6))</f>
        <v>1244369.1499999999</v>
      </c>
      <c r="Q8" s="164">
        <f>Q7+N8</f>
        <v>1371742.15</v>
      </c>
      <c r="R8" s="29">
        <f t="shared" si="2"/>
        <v>1087.0295510037449</v>
      </c>
      <c r="S8" s="165">
        <f>SUM($Q$7:$Q8)/T8+1</f>
        <v>1384582.15</v>
      </c>
      <c r="T8" s="166">
        <v>2</v>
      </c>
      <c r="U8" s="138">
        <f>B7+13</f>
        <v>43466</v>
      </c>
      <c r="V8" s="131">
        <v>1409.9</v>
      </c>
      <c r="W8" s="105">
        <v>-1260073</v>
      </c>
      <c r="X8" s="167"/>
      <c r="Y8" s="156">
        <f>Y7-K8-L8-1</f>
        <v>-1260073</v>
      </c>
      <c r="Z8" s="217"/>
      <c r="AA8" s="92"/>
    </row>
    <row r="9" spans="2:255">
      <c r="B9" s="116">
        <v>43455</v>
      </c>
      <c r="C9" s="14" t="str">
        <f t="shared" si="0"/>
        <v/>
      </c>
      <c r="D9" s="87"/>
      <c r="E9" s="87">
        <v>40</v>
      </c>
      <c r="F9" s="23">
        <v>-613912</v>
      </c>
      <c r="G9" s="26">
        <f>D9+E9+F9-E8-F8</f>
        <v>7869</v>
      </c>
      <c r="H9" s="132">
        <v>-600</v>
      </c>
      <c r="I9" s="63">
        <v>-11600</v>
      </c>
      <c r="J9" s="63">
        <v>-2700</v>
      </c>
      <c r="K9" s="63">
        <f t="shared" ref="K9:K48" si="3">+H9+I9+J9</f>
        <v>-14900</v>
      </c>
      <c r="L9" s="150">
        <v>-43</v>
      </c>
      <c r="M9" s="153"/>
      <c r="N9" s="149">
        <f>L9+K9+G9+M9</f>
        <v>-7074</v>
      </c>
      <c r="O9" s="67">
        <f t="shared" si="1"/>
        <v>835780.7666666666</v>
      </c>
      <c r="P9" s="7">
        <f>(IF($Q9&lt;0,-$Q$3+P7,($Q9-$Q$3)+P7))</f>
        <v>2507342.2999999998</v>
      </c>
      <c r="Q9" s="164">
        <f>Q8+N9</f>
        <v>1364668.15</v>
      </c>
      <c r="R9" s="29">
        <f t="shared" si="2"/>
        <v>1081.8175620683608</v>
      </c>
      <c r="S9" s="5">
        <f>SUM($Q$7:$Q9)/T9</f>
        <v>1377943.4833333332</v>
      </c>
      <c r="T9" s="17">
        <v>3</v>
      </c>
      <c r="U9" s="4"/>
      <c r="V9" s="131"/>
      <c r="W9" s="105">
        <v>-1245129</v>
      </c>
      <c r="X9" s="167"/>
      <c r="Y9" s="156">
        <f>Y8-K9-L9+1</f>
        <v>-1245129</v>
      </c>
      <c r="Z9" s="217"/>
      <c r="AA9" s="92"/>
    </row>
    <row r="10" spans="2:255">
      <c r="B10" s="116">
        <v>43456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936159.36249999993</v>
      </c>
      <c r="P10" s="7">
        <f t="shared" ref="P10:P48" si="4">(IF($Q10&lt;0,-$Q$3+P9,($Q10-$Q$3)+P9))</f>
        <v>3744637.4499999997</v>
      </c>
      <c r="Q10" s="164">
        <f t="shared" ref="Q10:Q47" si="5">Q9+N10</f>
        <v>1364668.15</v>
      </c>
      <c r="R10" s="29">
        <f t="shared" si="2"/>
        <v>1079.2111750527977</v>
      </c>
      <c r="S10" s="5">
        <f>SUM($Q$7:$Q10)/T10-1</f>
        <v>1374623.65</v>
      </c>
      <c r="T10" s="17">
        <v>4</v>
      </c>
      <c r="U10" s="27"/>
      <c r="V10" s="133"/>
      <c r="W10" s="105">
        <v>-1245129</v>
      </c>
      <c r="X10" s="167"/>
      <c r="Y10" s="156">
        <f>Y9-K10-L10</f>
        <v>-1245129</v>
      </c>
      <c r="Z10" s="217"/>
      <c r="AA10" s="92"/>
    </row>
    <row r="11" spans="2:255">
      <c r="B11" s="116">
        <v>43457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996386.5199999999</v>
      </c>
      <c r="P11" s="7">
        <f t="shared" si="4"/>
        <v>4981932.5999999996</v>
      </c>
      <c r="Q11" s="164">
        <f t="shared" si="5"/>
        <v>1364668.15</v>
      </c>
      <c r="R11" s="29">
        <f t="shared" si="2"/>
        <v>1077.6485989966477</v>
      </c>
      <c r="S11" s="5">
        <f>SUM($Q$7:$Q11)/T11</f>
        <v>1372633.35</v>
      </c>
      <c r="T11" s="17">
        <v>5</v>
      </c>
      <c r="U11" s="27"/>
      <c r="V11" s="134"/>
      <c r="W11" s="105">
        <v>-1245129</v>
      </c>
      <c r="X11" s="167"/>
      <c r="Y11" s="156">
        <f t="shared" ref="Y11:Y48" si="7">Y10-K11-L11</f>
        <v>-1245129</v>
      </c>
      <c r="Z11" s="217"/>
      <c r="AA11" s="92"/>
    </row>
    <row r="12" spans="2:255">
      <c r="B12" s="116">
        <v>43458</v>
      </c>
      <c r="C12" s="14" t="str">
        <f t="shared" si="0"/>
        <v/>
      </c>
      <c r="D12" s="87"/>
      <c r="E12" s="161">
        <v>35</v>
      </c>
      <c r="F12" s="23">
        <v>-612344</v>
      </c>
      <c r="G12" s="26">
        <f>D12+E12+F12-E9-F9</f>
        <v>1563</v>
      </c>
      <c r="H12" s="132">
        <v>-4000</v>
      </c>
      <c r="I12" s="63">
        <v>-14400</v>
      </c>
      <c r="J12" s="63">
        <v>-2300</v>
      </c>
      <c r="K12" s="63">
        <f t="shared" si="3"/>
        <v>-20700</v>
      </c>
      <c r="L12" s="150">
        <v>-9</v>
      </c>
      <c r="M12" s="153"/>
      <c r="N12" s="149">
        <f t="shared" si="6"/>
        <v>-19146</v>
      </c>
      <c r="O12" s="67">
        <f t="shared" si="1"/>
        <v>1033346.7916666666</v>
      </c>
      <c r="P12" s="7">
        <f t="shared" si="4"/>
        <v>6200080.75</v>
      </c>
      <c r="Q12" s="164">
        <f>Q11+N12-1</f>
        <v>1345521.15</v>
      </c>
      <c r="R12" s="29">
        <f t="shared" si="2"/>
        <v>1074.0994166738635</v>
      </c>
      <c r="S12" s="5">
        <f>SUM($Q$7:$Q12)/T12-2</f>
        <v>1368112.6500000001</v>
      </c>
      <c r="T12" s="17">
        <v>6</v>
      </c>
      <c r="U12" s="138"/>
      <c r="V12" s="159"/>
      <c r="W12" s="105">
        <v>-1224419</v>
      </c>
      <c r="X12" s="167"/>
      <c r="Y12" s="156">
        <f>Y11-K12-L12+1</f>
        <v>-1224419</v>
      </c>
      <c r="Z12" s="217"/>
      <c r="AA12" s="92"/>
    </row>
    <row r="13" spans="2:255">
      <c r="B13" s="116">
        <v>43459</v>
      </c>
      <c r="C13" s="14" t="s">
        <v>242</v>
      </c>
      <c r="D13" s="87"/>
      <c r="E13" s="87"/>
      <c r="F13" s="23"/>
      <c r="G13" s="26"/>
      <c r="H13" s="132"/>
      <c r="I13" s="63"/>
      <c r="J13" s="63"/>
      <c r="K13" s="63"/>
      <c r="L13" s="150"/>
      <c r="M13" s="153"/>
      <c r="N13" s="149">
        <f t="shared" si="6"/>
        <v>0</v>
      </c>
      <c r="O13" s="67">
        <f t="shared" si="1"/>
        <v>1059746.9857142859</v>
      </c>
      <c r="P13" s="7">
        <f>(IF($Q13&lt;0,-$Q$3+P12,($Q13-$Q$3)+P12))</f>
        <v>7418228.9000000004</v>
      </c>
      <c r="Q13" s="164">
        <f>Q12+N13</f>
        <v>1345521.15</v>
      </c>
      <c r="R13" s="29">
        <f t="shared" si="2"/>
        <v>1071.5669782001344</v>
      </c>
      <c r="S13" s="5">
        <f>SUM($Q$7:$Q13)/T13</f>
        <v>1364887.0071428572</v>
      </c>
      <c r="T13" s="17">
        <v>7</v>
      </c>
      <c r="U13" s="138"/>
      <c r="V13" s="155"/>
      <c r="W13" s="105">
        <v>-1224419</v>
      </c>
      <c r="X13" s="167"/>
      <c r="Y13" s="156">
        <f>Y12-K13-L13</f>
        <v>-1224419</v>
      </c>
      <c r="Z13" s="217"/>
      <c r="AA13" s="92"/>
      <c r="AB13" s="92"/>
    </row>
    <row r="14" spans="2:255">
      <c r="B14" s="116">
        <v>43460</v>
      </c>
      <c r="C14" s="14" t="s">
        <v>242</v>
      </c>
      <c r="D14" s="87"/>
      <c r="E14" s="87"/>
      <c r="F14" s="23"/>
      <c r="G14" s="26"/>
      <c r="H14" s="132"/>
      <c r="I14" s="63"/>
      <c r="J14" s="63"/>
      <c r="K14" s="63"/>
      <c r="L14" s="150"/>
      <c r="M14" s="154"/>
      <c r="N14" s="149">
        <f>L14+K14+G14+M14</f>
        <v>0</v>
      </c>
      <c r="O14" s="67">
        <f t="shared" si="1"/>
        <v>1079547.1312500001</v>
      </c>
      <c r="P14" s="7">
        <f t="shared" si="4"/>
        <v>8636377.0500000007</v>
      </c>
      <c r="Q14" s="164">
        <f>Q13+N14</f>
        <v>1345521.15</v>
      </c>
      <c r="R14" s="29">
        <f t="shared" si="2"/>
        <v>1069.6664717012241</v>
      </c>
      <c r="S14" s="5">
        <f>SUM($Q$7:$Q14)/T14</f>
        <v>1362466.2750000001</v>
      </c>
      <c r="T14" s="17">
        <v>8</v>
      </c>
      <c r="U14" s="4"/>
      <c r="V14" s="4"/>
      <c r="W14" s="105">
        <v>-1224419</v>
      </c>
      <c r="X14" s="4"/>
      <c r="Y14" s="156">
        <f>Y13-K14-L14</f>
        <v>-1224419</v>
      </c>
      <c r="Z14" s="217"/>
      <c r="AA14" s="92"/>
    </row>
    <row r="15" spans="2:255">
      <c r="B15" s="116">
        <v>43461</v>
      </c>
      <c r="C15" s="14" t="str">
        <f t="shared" si="0"/>
        <v/>
      </c>
      <c r="D15" s="87"/>
      <c r="E15" s="87">
        <v>10</v>
      </c>
      <c r="F15" s="23">
        <v>-622120</v>
      </c>
      <c r="G15" s="26">
        <f>D15+E15+F15-E12-F12+300</f>
        <v>-9501</v>
      </c>
      <c r="H15" s="132">
        <v>600</v>
      </c>
      <c r="I15" s="63">
        <v>-15800</v>
      </c>
      <c r="J15" s="63">
        <v>-1800</v>
      </c>
      <c r="K15" s="63">
        <f t="shared" si="3"/>
        <v>-17000</v>
      </c>
      <c r="L15" s="151">
        <v>-1</v>
      </c>
      <c r="M15" s="153"/>
      <c r="N15" s="149">
        <f>L15+K15+G15+M15</f>
        <v>-26502</v>
      </c>
      <c r="O15" s="67">
        <f t="shared" si="1"/>
        <v>1092002.688888889</v>
      </c>
      <c r="P15" s="7">
        <f t="shared" si="4"/>
        <v>9828024.2000000011</v>
      </c>
      <c r="Q15" s="164">
        <f>Q14+N15+1</f>
        <v>1319020.1499999999</v>
      </c>
      <c r="R15" s="29">
        <f t="shared" si="2"/>
        <v>1065.8757568541039</v>
      </c>
      <c r="S15" s="5">
        <f>SUM($Q$7:$Q15)/T15-1</f>
        <v>1357637.9277777779</v>
      </c>
      <c r="T15" s="17">
        <v>9</v>
      </c>
      <c r="U15" s="4"/>
      <c r="V15" s="4"/>
      <c r="W15" s="105">
        <v>-1207719</v>
      </c>
      <c r="X15" s="167"/>
      <c r="Y15" s="156">
        <f>Y14-K15-L15-301</f>
        <v>-1207719</v>
      </c>
      <c r="Z15" s="217"/>
      <c r="AA15" s="92"/>
      <c r="AB15" s="92"/>
    </row>
    <row r="16" spans="2:255" s="69" customFormat="1">
      <c r="B16" s="116">
        <v>43462</v>
      </c>
      <c r="C16" s="14" t="str">
        <f t="shared" si="0"/>
        <v/>
      </c>
      <c r="D16" s="129"/>
      <c r="E16" s="87">
        <v>50</v>
      </c>
      <c r="F16" s="23">
        <v>-613563</v>
      </c>
      <c r="G16" s="26">
        <f>D16+E16+F16-E15-F15</f>
        <v>8597</v>
      </c>
      <c r="H16" s="132">
        <v>13200</v>
      </c>
      <c r="I16" s="63">
        <v>-39300</v>
      </c>
      <c r="J16" s="63">
        <v>-1800</v>
      </c>
      <c r="K16" s="63">
        <f t="shared" si="3"/>
        <v>-27900</v>
      </c>
      <c r="L16" s="151">
        <v>29</v>
      </c>
      <c r="M16" s="153"/>
      <c r="N16" s="152">
        <f>L16+K16+G16+M16</f>
        <v>-19274</v>
      </c>
      <c r="O16" s="67">
        <f t="shared" si="1"/>
        <v>1100039.7350000001</v>
      </c>
      <c r="P16" s="70">
        <f t="shared" si="4"/>
        <v>11000397.350000001</v>
      </c>
      <c r="Q16" s="164">
        <f>Q15+N16</f>
        <v>1299746.1499999999</v>
      </c>
      <c r="R16" s="71">
        <f t="shared" si="2"/>
        <v>1061.3306195190505</v>
      </c>
      <c r="S16" s="72">
        <f>SUM($Q$7:$Q16)/T16-1</f>
        <v>1351848.6500000001</v>
      </c>
      <c r="T16" s="73">
        <v>10</v>
      </c>
      <c r="U16" s="218"/>
      <c r="V16" s="133"/>
      <c r="W16" s="105">
        <v>-1179848</v>
      </c>
      <c r="X16" s="167"/>
      <c r="Y16" s="156">
        <f t="shared" si="7"/>
        <v>-1179848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43463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1106615.5000000002</v>
      </c>
      <c r="P17" s="7">
        <f t="shared" si="4"/>
        <v>12172770.500000002</v>
      </c>
      <c r="Q17" s="164">
        <f t="shared" si="5"/>
        <v>1299746.1499999999</v>
      </c>
      <c r="R17" s="29">
        <f t="shared" si="2"/>
        <v>1057.6126558861129</v>
      </c>
      <c r="S17" s="5">
        <f>SUM($Q$7:$Q17)/T17</f>
        <v>1347112.9681818185</v>
      </c>
      <c r="T17" s="18">
        <v>11</v>
      </c>
      <c r="U17" s="27"/>
      <c r="V17" s="136"/>
      <c r="W17" s="105">
        <v>-1179848</v>
      </c>
      <c r="X17" s="167"/>
      <c r="Y17" s="156">
        <f t="shared" si="7"/>
        <v>-1179848</v>
      </c>
      <c r="Z17" s="217"/>
      <c r="AA17" s="92"/>
      <c r="AC17" s="92"/>
    </row>
    <row r="18" spans="2:31">
      <c r="B18" s="116">
        <v>43464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1112095.3041666669</v>
      </c>
      <c r="P18" s="7">
        <f t="shared" si="4"/>
        <v>13345143.650000002</v>
      </c>
      <c r="Q18" s="164">
        <f t="shared" si="5"/>
        <v>1299746.1499999999</v>
      </c>
      <c r="R18" s="29">
        <f t="shared" si="2"/>
        <v>1054.5129135164702</v>
      </c>
      <c r="S18" s="5">
        <f>SUM($Q$7:$Q18)/T18-1</f>
        <v>1343164.7333333336</v>
      </c>
      <c r="T18" s="18">
        <v>12</v>
      </c>
      <c r="U18" s="27"/>
      <c r="V18" s="136"/>
      <c r="W18" s="105">
        <v>-1179848</v>
      </c>
      <c r="X18" s="167"/>
      <c r="Y18" s="156">
        <f t="shared" si="7"/>
        <v>-1179848</v>
      </c>
      <c r="Z18" s="217"/>
      <c r="AA18" s="92"/>
    </row>
    <row r="19" spans="2:31">
      <c r="B19" s="116">
        <v>43465</v>
      </c>
      <c r="C19" s="14" t="str">
        <f t="shared" si="0"/>
        <v/>
      </c>
      <c r="D19" s="87"/>
      <c r="E19" s="87">
        <v>971</v>
      </c>
      <c r="F19" s="23">
        <v>-623531</v>
      </c>
      <c r="G19" s="26">
        <f>D19+E19+F19-E16-F16</f>
        <v>-9047</v>
      </c>
      <c r="H19" s="132">
        <v>-1950</v>
      </c>
      <c r="I19" s="25">
        <v>-57550</v>
      </c>
      <c r="J19" s="63">
        <v>-1000</v>
      </c>
      <c r="K19" s="63">
        <f t="shared" si="3"/>
        <v>-60500</v>
      </c>
      <c r="L19" s="150">
        <v>-45</v>
      </c>
      <c r="M19" s="153"/>
      <c r="N19" s="149">
        <f t="shared" si="6"/>
        <v>-69592</v>
      </c>
      <c r="O19" s="67">
        <f t="shared" si="1"/>
        <v>1111378.7538461541</v>
      </c>
      <c r="P19" s="7">
        <f t="shared" si="4"/>
        <v>14447923.800000003</v>
      </c>
      <c r="Q19" s="164">
        <f>Q18+N19-1</f>
        <v>1230153.1499999999</v>
      </c>
      <c r="R19" s="29">
        <f t="shared" si="2"/>
        <v>1047.6886449187095</v>
      </c>
      <c r="S19" s="5">
        <f>SUM($Q$7:$Q19)/T19</f>
        <v>1334472.4576923079</v>
      </c>
      <c r="T19" s="18">
        <v>13</v>
      </c>
      <c r="U19" s="138">
        <f>B19</f>
        <v>43465</v>
      </c>
      <c r="V19" s="131" t="s">
        <v>245</v>
      </c>
      <c r="W19" s="105">
        <v>-1119303</v>
      </c>
      <c r="X19" s="167">
        <f>AVERAGE(W19:W27)</f>
        <v>-1207576.5555555555</v>
      </c>
      <c r="Y19" s="156">
        <f t="shared" si="7"/>
        <v>-1119303</v>
      </c>
      <c r="Z19" s="217">
        <f>AVERAGE(Y19:Y27)</f>
        <v>-1205235.111111111</v>
      </c>
      <c r="AA19" s="92"/>
    </row>
    <row r="20" spans="2:31">
      <c r="B20" s="116">
        <v>43466</v>
      </c>
      <c r="C20" s="14" t="s">
        <v>242</v>
      </c>
      <c r="D20" s="87"/>
      <c r="E20" s="87"/>
      <c r="F20" s="23"/>
      <c r="G20" s="26"/>
      <c r="H20" s="132"/>
      <c r="I20" s="25"/>
      <c r="J20" s="63"/>
      <c r="K20" s="63"/>
      <c r="L20" s="150"/>
      <c r="M20" s="153"/>
      <c r="N20" s="149">
        <f t="shared" si="6"/>
        <v>0</v>
      </c>
      <c r="O20" s="67">
        <f t="shared" si="1"/>
        <v>1110764.567857143</v>
      </c>
      <c r="P20" s="7">
        <f t="shared" si="4"/>
        <v>15550703.950000003</v>
      </c>
      <c r="Q20" s="164">
        <f>Q19+N20</f>
        <v>1230153.1499999999</v>
      </c>
      <c r="R20" s="29">
        <f t="shared" si="2"/>
        <v>1041.838598895707</v>
      </c>
      <c r="S20" s="5">
        <f>SUM($Q$7:$Q20)/T20</f>
        <v>1327021.0785714288</v>
      </c>
      <c r="T20" s="18">
        <v>14</v>
      </c>
      <c r="U20" s="138">
        <f>B21+6</f>
        <v>43473</v>
      </c>
      <c r="V20" s="131">
        <v>1454.7</v>
      </c>
      <c r="W20" s="105">
        <v>-1139928</v>
      </c>
      <c r="X20" s="167"/>
      <c r="Y20" s="156">
        <f>Y19-K20-L20+448</f>
        <v>-1118855</v>
      </c>
      <c r="Z20" s="217"/>
      <c r="AA20" s="92"/>
      <c r="AB20" s="92"/>
    </row>
    <row r="21" spans="2:31">
      <c r="B21" s="116">
        <v>43467</v>
      </c>
      <c r="C21" s="14" t="str">
        <f t="shared" si="0"/>
        <v/>
      </c>
      <c r="D21" s="87">
        <f>-9573+8214</f>
        <v>-1359</v>
      </c>
      <c r="E21" s="87">
        <v>146</v>
      </c>
      <c r="F21" s="23">
        <v>-654197</v>
      </c>
      <c r="G21" s="26">
        <f>D21+E21+F21-E19-F19</f>
        <v>-32850</v>
      </c>
      <c r="H21" s="132">
        <v>-12800</v>
      </c>
      <c r="I21" s="25">
        <v>55280</v>
      </c>
      <c r="J21" s="63">
        <v>2600</v>
      </c>
      <c r="K21" s="63">
        <f t="shared" si="3"/>
        <v>45080</v>
      </c>
      <c r="L21" s="150">
        <v>8</v>
      </c>
      <c r="M21" s="153"/>
      <c r="N21" s="149">
        <f>L21+K21+G21+M21</f>
        <v>12238</v>
      </c>
      <c r="O21" s="67">
        <f t="shared" si="1"/>
        <v>1111048.2066666668</v>
      </c>
      <c r="P21" s="7">
        <f t="shared" si="4"/>
        <v>16665723.100000003</v>
      </c>
      <c r="Q21" s="164">
        <f>Q20+N21+1</f>
        <v>1242392.1499999999</v>
      </c>
      <c r="R21" s="29">
        <f t="shared" si="2"/>
        <v>1037.4091447952078</v>
      </c>
      <c r="S21" s="5">
        <f>SUM($Q$7:$Q21)/T21</f>
        <v>1321379.1499999999</v>
      </c>
      <c r="T21" s="18">
        <v>15</v>
      </c>
      <c r="U21" s="4"/>
      <c r="V21" s="131"/>
      <c r="W21" s="105">
        <v>-1164391</v>
      </c>
      <c r="X21" s="4"/>
      <c r="Y21" s="156">
        <f>Y20-K21-L21-448</f>
        <v>-1164391</v>
      </c>
      <c r="Z21" s="219"/>
      <c r="AA21" s="92"/>
    </row>
    <row r="22" spans="2:31">
      <c r="B22" s="116">
        <v>43468</v>
      </c>
      <c r="C22" s="14" t="str">
        <f t="shared" si="0"/>
        <v/>
      </c>
      <c r="D22" s="87"/>
      <c r="E22" s="87">
        <v>115</v>
      </c>
      <c r="F22" s="23">
        <v>-663294</v>
      </c>
      <c r="G22" s="26">
        <f>D22+E22+F22-E21-F21</f>
        <v>-9128</v>
      </c>
      <c r="H22" s="132">
        <v>8600</v>
      </c>
      <c r="I22" s="25">
        <v>33500</v>
      </c>
      <c r="J22" s="63">
        <v>2600</v>
      </c>
      <c r="K22" s="63">
        <f t="shared" si="3"/>
        <v>44700</v>
      </c>
      <c r="L22" s="150">
        <v>-37</v>
      </c>
      <c r="M22" s="153"/>
      <c r="N22" s="149">
        <f>L22+K22+G22+M22</f>
        <v>35535</v>
      </c>
      <c r="O22" s="67">
        <f t="shared" si="1"/>
        <v>1113517.2656250002</v>
      </c>
      <c r="P22" s="7">
        <f t="shared" si="4"/>
        <v>17816276.250000004</v>
      </c>
      <c r="Q22" s="164">
        <f>Q21+N22-1</f>
        <v>1277926.1499999999</v>
      </c>
      <c r="R22" s="29">
        <f t="shared" si="2"/>
        <v>1035.2761868684886</v>
      </c>
      <c r="S22" s="5">
        <f>SUM($Q$7:$Q22)/T22-1</f>
        <v>1318662.3374999999</v>
      </c>
      <c r="T22" s="18">
        <v>16</v>
      </c>
      <c r="U22" s="4"/>
      <c r="V22" s="131"/>
      <c r="W22" s="105">
        <v>-1209054</v>
      </c>
      <c r="X22" s="167"/>
      <c r="Y22" s="156">
        <f t="shared" si="7"/>
        <v>-1209054</v>
      </c>
      <c r="Z22" s="217"/>
      <c r="AA22" s="92"/>
    </row>
    <row r="23" spans="2:31">
      <c r="B23" s="116">
        <v>43469</v>
      </c>
      <c r="C23" s="14" t="str">
        <f t="shared" si="0"/>
        <v/>
      </c>
      <c r="D23" s="87"/>
      <c r="E23" s="87">
        <v>55</v>
      </c>
      <c r="F23" s="23">
        <v>-666430</v>
      </c>
      <c r="G23" s="26">
        <f>D23+E23+F23-E22-F22</f>
        <v>-3196</v>
      </c>
      <c r="H23" s="132">
        <v>600</v>
      </c>
      <c r="I23" s="25">
        <v>26900</v>
      </c>
      <c r="J23" s="63">
        <v>2600</v>
      </c>
      <c r="K23" s="63">
        <f t="shared" si="3"/>
        <v>30100</v>
      </c>
      <c r="L23" s="150">
        <v>10</v>
      </c>
      <c r="M23" s="153"/>
      <c r="N23" s="149">
        <f>L23+K23+G23+M23</f>
        <v>26914</v>
      </c>
      <c r="O23" s="67">
        <f t="shared" si="1"/>
        <v>1117279.023529412</v>
      </c>
      <c r="P23" s="7">
        <f t="shared" si="4"/>
        <v>18993743.400000002</v>
      </c>
      <c r="Q23" s="164">
        <f>Q22+N23</f>
        <v>1304840.1499999999</v>
      </c>
      <c r="R23" s="29">
        <f t="shared" si="2"/>
        <v>1034.6385881022895</v>
      </c>
      <c r="S23" s="5">
        <f>SUM($Q$7:$Q23)/T23</f>
        <v>1317850.2088235293</v>
      </c>
      <c r="T23" s="18">
        <v>17</v>
      </c>
      <c r="U23" s="27"/>
      <c r="V23" s="135"/>
      <c r="W23" s="105">
        <v>-1239164</v>
      </c>
      <c r="X23" s="167"/>
      <c r="Y23" s="156">
        <f t="shared" si="7"/>
        <v>-1239164</v>
      </c>
      <c r="Z23" s="217"/>
      <c r="AA23" s="92"/>
    </row>
    <row r="24" spans="2:31">
      <c r="B24" s="116">
        <v>43470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1120622.8083333333</v>
      </c>
      <c r="P24" s="7">
        <f t="shared" si="4"/>
        <v>20171210.550000001</v>
      </c>
      <c r="Q24" s="164">
        <f t="shared" si="5"/>
        <v>1304840.1499999999</v>
      </c>
      <c r="R24" s="29">
        <f t="shared" si="2"/>
        <v>1034.0711357805637</v>
      </c>
      <c r="S24" s="5">
        <f>SUM($Q$7:$Q24)/T24</f>
        <v>1317127.4277777774</v>
      </c>
      <c r="T24" s="18">
        <v>18</v>
      </c>
      <c r="U24" s="4"/>
      <c r="V24" s="135"/>
      <c r="W24" s="105">
        <v>-1239164</v>
      </c>
      <c r="X24" s="167"/>
      <c r="Y24" s="156">
        <f t="shared" si="7"/>
        <v>-1239164</v>
      </c>
      <c r="Z24" s="217"/>
      <c r="AA24" s="92"/>
      <c r="AD24" s="1"/>
      <c r="AE24" s="1"/>
    </row>
    <row r="25" spans="2:31">
      <c r="B25" s="116">
        <v>43471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1123614.6157894738</v>
      </c>
      <c r="P25" s="7">
        <f t="shared" si="4"/>
        <v>21348677.699999999</v>
      </c>
      <c r="Q25" s="164">
        <f t="shared" si="5"/>
        <v>1304840.1499999999</v>
      </c>
      <c r="R25" s="29">
        <f t="shared" si="2"/>
        <v>1033.5634152821776</v>
      </c>
      <c r="S25" s="5">
        <f>SUM($Q$7:$Q25)/T25</f>
        <v>1316480.7289473682</v>
      </c>
      <c r="T25" s="18">
        <v>19</v>
      </c>
      <c r="U25" s="4"/>
      <c r="V25" s="131"/>
      <c r="W25" s="105">
        <v>-1239164</v>
      </c>
      <c r="X25" s="167"/>
      <c r="Y25" s="156">
        <f t="shared" si="7"/>
        <v>-1239164</v>
      </c>
      <c r="Z25" s="217"/>
      <c r="AA25" s="92"/>
      <c r="AD25" s="1"/>
      <c r="AE25" s="1"/>
    </row>
    <row r="26" spans="2:31">
      <c r="B26" s="116">
        <v>43472</v>
      </c>
      <c r="C26" s="14" t="str">
        <f t="shared" si="0"/>
        <v/>
      </c>
      <c r="D26" s="87"/>
      <c r="E26" s="87">
        <v>96</v>
      </c>
      <c r="F26" s="23">
        <v>-642703</v>
      </c>
      <c r="G26" s="26">
        <f>D26+E26+F26-E23-F23</f>
        <v>23768</v>
      </c>
      <c r="H26" s="132">
        <v>600</v>
      </c>
      <c r="I26" s="25">
        <v>16400</v>
      </c>
      <c r="J26" s="25">
        <v>1800</v>
      </c>
      <c r="K26" s="63">
        <f t="shared" si="3"/>
        <v>18800</v>
      </c>
      <c r="L26" s="150">
        <v>25</v>
      </c>
      <c r="M26" s="153"/>
      <c r="N26" s="149">
        <f t="shared" si="6"/>
        <v>42593</v>
      </c>
      <c r="O26" s="67">
        <f t="shared" si="1"/>
        <v>1128436.8924999998</v>
      </c>
      <c r="P26" s="7">
        <f t="shared" si="4"/>
        <v>22568737.849999998</v>
      </c>
      <c r="Q26" s="164">
        <f>Q25+N26</f>
        <v>1347433.15</v>
      </c>
      <c r="R26" s="29">
        <f t="shared" si="2"/>
        <v>1034.778445981487</v>
      </c>
      <c r="S26" s="5">
        <f>SUM($Q$7:$Q26)/T26</f>
        <v>1318028.3499999996</v>
      </c>
      <c r="T26" s="18">
        <v>20</v>
      </c>
      <c r="U26" s="138">
        <f>B26</f>
        <v>43472</v>
      </c>
      <c r="V26" s="131" t="s">
        <v>246</v>
      </c>
      <c r="W26" s="105">
        <v>-1257989</v>
      </c>
      <c r="X26" s="167">
        <f>AVERAGE(W26:W34)</f>
        <v>-1281127.5555555555</v>
      </c>
      <c r="Y26" s="156">
        <f>Y25-K26-L26</f>
        <v>-1257989</v>
      </c>
      <c r="Z26" s="217">
        <f>AVERAGE(Y26:Y34)</f>
        <v>-1281127.5555555555</v>
      </c>
      <c r="AC26" s="92"/>
      <c r="AD26" s="1"/>
      <c r="AE26" s="1"/>
    </row>
    <row r="27" spans="2:31">
      <c r="B27" s="116">
        <v>43473</v>
      </c>
      <c r="C27" s="14" t="str">
        <f t="shared" si="0"/>
        <v/>
      </c>
      <c r="D27" s="87"/>
      <c r="E27" s="87">
        <v>85</v>
      </c>
      <c r="F27" s="23">
        <v>-667213</v>
      </c>
      <c r="G27" s="26">
        <f>D27+E27+F27-E26-F26</f>
        <v>-24521</v>
      </c>
      <c r="H27" s="132">
        <v>700</v>
      </c>
      <c r="I27" s="25">
        <v>-500</v>
      </c>
      <c r="J27" s="25">
        <v>1800</v>
      </c>
      <c r="K27" s="63">
        <f t="shared" si="3"/>
        <v>2000</v>
      </c>
      <c r="L27" s="150">
        <v>43</v>
      </c>
      <c r="M27" s="153"/>
      <c r="N27" s="149">
        <f>L27+K27+G27+M27</f>
        <v>-22478</v>
      </c>
      <c r="O27" s="67">
        <f t="shared" si="1"/>
        <v>1131729.5714285714</v>
      </c>
      <c r="P27" s="7">
        <f t="shared" si="4"/>
        <v>23766320.999999996</v>
      </c>
      <c r="Q27" s="164">
        <f>Q26+N27+1</f>
        <v>1324956.1499999999</v>
      </c>
      <c r="R27" s="29">
        <f t="shared" si="2"/>
        <v>1035.0382304241045</v>
      </c>
      <c r="S27" s="5">
        <f>SUM($Q$7:$Q27)/T27+1</f>
        <v>1318359.2452380948</v>
      </c>
      <c r="T27" s="18">
        <v>21</v>
      </c>
      <c r="U27" s="138">
        <f>B28+6</f>
        <v>43480</v>
      </c>
      <c r="V27" s="159">
        <v>1388.8</v>
      </c>
      <c r="W27" s="105">
        <v>-1260032</v>
      </c>
      <c r="X27" s="167"/>
      <c r="Y27" s="156">
        <f>Y26-K27-L27</f>
        <v>-1260032</v>
      </c>
      <c r="Z27" s="217"/>
      <c r="AA27" s="92"/>
      <c r="AD27" s="1"/>
      <c r="AE27" s="1"/>
    </row>
    <row r="28" spans="2:31">
      <c r="B28" s="116">
        <v>43474</v>
      </c>
      <c r="C28" s="14" t="str">
        <f t="shared" si="0"/>
        <v/>
      </c>
      <c r="D28" s="87">
        <f>-8214+7329</f>
        <v>-885</v>
      </c>
      <c r="E28" s="87">
        <v>25</v>
      </c>
      <c r="F28" s="23">
        <v>-658508</v>
      </c>
      <c r="G28" s="26">
        <f>D28+E28+F28-E27-F27</f>
        <v>7760</v>
      </c>
      <c r="H28" s="132">
        <v>700</v>
      </c>
      <c r="I28" s="25">
        <v>14400</v>
      </c>
      <c r="J28" s="25">
        <v>1800</v>
      </c>
      <c r="K28" s="63">
        <f t="shared" si="3"/>
        <v>16900</v>
      </c>
      <c r="L28" s="150">
        <v>47</v>
      </c>
      <c r="M28" s="153"/>
      <c r="N28" s="149">
        <f>L28+K28+G28+M28</f>
        <v>24707</v>
      </c>
      <c r="O28" s="67">
        <f t="shared" si="1"/>
        <v>1135845.9159090908</v>
      </c>
      <c r="P28" s="7">
        <f t="shared" si="4"/>
        <v>24988610.149999995</v>
      </c>
      <c r="Q28" s="164">
        <f>Q27+N28-1</f>
        <v>1349662.15</v>
      </c>
      <c r="R28" s="29">
        <f t="shared" si="2"/>
        <v>1036.1600574690081</v>
      </c>
      <c r="S28" s="5">
        <f>SUM($Q$7:$Q28)/T28+7</f>
        <v>1319788.1499999994</v>
      </c>
      <c r="T28" s="18">
        <v>22</v>
      </c>
      <c r="U28" s="4"/>
      <c r="V28" s="131"/>
      <c r="W28" s="105">
        <v>-1276979</v>
      </c>
      <c r="X28" s="167"/>
      <c r="Y28" s="156">
        <f t="shared" si="7"/>
        <v>-1276979</v>
      </c>
      <c r="Z28" s="217"/>
      <c r="AA28" s="92"/>
      <c r="AD28" s="1"/>
      <c r="AE28" s="1"/>
    </row>
    <row r="29" spans="2:31">
      <c r="B29" s="116">
        <v>43475</v>
      </c>
      <c r="C29" s="14" t="str">
        <f t="shared" si="0"/>
        <v/>
      </c>
      <c r="D29" s="87"/>
      <c r="E29" s="87">
        <v>43</v>
      </c>
      <c r="F29" s="23">
        <v>-670889</v>
      </c>
      <c r="G29" s="26">
        <f>D29+E29+F29-E28-F28</f>
        <v>-12363</v>
      </c>
      <c r="H29" s="132">
        <v>700</v>
      </c>
      <c r="I29" s="25">
        <v>-2400</v>
      </c>
      <c r="J29" s="25">
        <v>1800</v>
      </c>
      <c r="K29" s="63">
        <f t="shared" si="3"/>
        <v>100</v>
      </c>
      <c r="L29" s="150">
        <v>-24</v>
      </c>
      <c r="M29" s="153"/>
      <c r="N29" s="149">
        <f>L29+K29+G29+M29</f>
        <v>-12287</v>
      </c>
      <c r="O29" s="67">
        <f t="shared" si="1"/>
        <v>1139070.0999999996</v>
      </c>
      <c r="P29" s="7">
        <f t="shared" si="4"/>
        <v>26198612.299999993</v>
      </c>
      <c r="Q29" s="164">
        <f>Q28+N29</f>
        <v>1337375.1499999999</v>
      </c>
      <c r="R29" s="29">
        <f t="shared" si="2"/>
        <v>1036.7598364816238</v>
      </c>
      <c r="S29" s="5">
        <f>SUM($Q$7:$Q29)/T29+6</f>
        <v>1320552.1065217387</v>
      </c>
      <c r="T29" s="18">
        <v>23</v>
      </c>
      <c r="U29" s="4"/>
      <c r="V29" s="131"/>
      <c r="W29" s="105">
        <v>-1277055</v>
      </c>
      <c r="X29" s="167"/>
      <c r="Y29" s="156">
        <f t="shared" si="7"/>
        <v>-1277055</v>
      </c>
      <c r="Z29" s="217"/>
      <c r="AA29" s="92"/>
      <c r="AD29" s="1"/>
      <c r="AE29" s="1"/>
    </row>
    <row r="30" spans="2:31">
      <c r="B30" s="116">
        <v>43476</v>
      </c>
      <c r="C30" s="14" t="str">
        <f t="shared" si="0"/>
        <v/>
      </c>
      <c r="D30" s="87"/>
      <c r="E30" s="87">
        <v>36</v>
      </c>
      <c r="F30" s="23">
        <v>-669525</v>
      </c>
      <c r="G30" s="26">
        <f>D30+E30+F30-E29-F29</f>
        <v>1357</v>
      </c>
      <c r="H30" s="132">
        <v>600</v>
      </c>
      <c r="I30" s="25">
        <v>15500</v>
      </c>
      <c r="J30" s="25">
        <v>1800</v>
      </c>
      <c r="K30" s="63">
        <f t="shared" si="3"/>
        <v>17900</v>
      </c>
      <c r="L30" s="150">
        <v>-29</v>
      </c>
      <c r="M30" s="153"/>
      <c r="N30" s="149">
        <f t="shared" si="6"/>
        <v>19228</v>
      </c>
      <c r="O30" s="67">
        <f t="shared" si="1"/>
        <v>1142826.8104166663</v>
      </c>
      <c r="P30" s="7">
        <f t="shared" si="4"/>
        <v>27427843.449999992</v>
      </c>
      <c r="Q30" s="164">
        <f>Q29+N30+1</f>
        <v>1356604.15</v>
      </c>
      <c r="R30" s="29">
        <f t="shared" si="2"/>
        <v>1037.9393788322482</v>
      </c>
      <c r="S30" s="5">
        <f>SUM($Q$7:$Q30)/T30+6</f>
        <v>1322054.5249999994</v>
      </c>
      <c r="T30" s="18">
        <v>24</v>
      </c>
      <c r="U30" s="4"/>
      <c r="V30" s="131"/>
      <c r="W30" s="105">
        <v>-1294927</v>
      </c>
      <c r="X30" s="167"/>
      <c r="Y30" s="156">
        <f>Y29-K30-L30-1</f>
        <v>-1294927</v>
      </c>
      <c r="Z30" s="217"/>
      <c r="AA30" s="92"/>
      <c r="AD30" s="1"/>
      <c r="AE30" s="1"/>
    </row>
    <row r="31" spans="2:31">
      <c r="B31" s="116">
        <v>43477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/>
      <c r="L31" s="150"/>
      <c r="M31" s="153"/>
      <c r="N31" s="149">
        <f>L31+K31+G31+M31</f>
        <v>0</v>
      </c>
      <c r="O31" s="67">
        <f>P31/T31</f>
        <v>1146282.9839999997</v>
      </c>
      <c r="P31" s="7">
        <f t="shared" si="4"/>
        <v>28657074.59999999</v>
      </c>
      <c r="Q31" s="164">
        <f t="shared" si="5"/>
        <v>1356604.15</v>
      </c>
      <c r="R31" s="29">
        <f t="shared" si="2"/>
        <v>1039.0214174118528</v>
      </c>
      <c r="S31" s="5">
        <f>SUM($Q$7:$Q31)/T31+2</f>
        <v>1323432.7499999993</v>
      </c>
      <c r="T31" s="18">
        <v>25</v>
      </c>
      <c r="U31" s="4"/>
      <c r="V31" s="137"/>
      <c r="W31" s="105">
        <v>-1294927</v>
      </c>
      <c r="X31" s="167"/>
      <c r="Y31" s="156">
        <f t="shared" si="7"/>
        <v>-1294927</v>
      </c>
      <c r="Z31" s="217"/>
      <c r="AA31" s="92"/>
      <c r="AB31" s="92"/>
      <c r="AD31" s="1"/>
      <c r="AE31" s="1"/>
    </row>
    <row r="32" spans="2:31">
      <c r="B32" s="116">
        <v>43478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1149473.2980769225</v>
      </c>
      <c r="P32" s="7">
        <f t="shared" si="4"/>
        <v>29886305.749999989</v>
      </c>
      <c r="Q32" s="164">
        <f t="shared" si="5"/>
        <v>1356604.15</v>
      </c>
      <c r="R32" s="29">
        <f t="shared" si="2"/>
        <v>1040.0215508781291</v>
      </c>
      <c r="S32" s="5">
        <f>SUM($Q$7:$Q32)/T32</f>
        <v>1324706.6499999994</v>
      </c>
      <c r="T32" s="18">
        <v>26</v>
      </c>
      <c r="U32" s="27"/>
      <c r="V32" s="137"/>
      <c r="W32" s="105">
        <v>-1294927</v>
      </c>
      <c r="X32" s="167"/>
      <c r="Y32" s="156">
        <f t="shared" si="7"/>
        <v>-1294927</v>
      </c>
      <c r="Z32" s="217"/>
      <c r="AD32" s="1"/>
      <c r="AE32" s="1"/>
    </row>
    <row r="33" spans="2:31">
      <c r="B33" s="116">
        <v>43479</v>
      </c>
      <c r="C33" s="14" t="str">
        <f t="shared" si="0"/>
        <v/>
      </c>
      <c r="D33" s="87"/>
      <c r="E33" s="87">
        <v>42</v>
      </c>
      <c r="F33" s="23">
        <v>-671396</v>
      </c>
      <c r="G33" s="26">
        <f>D33+E33+F33-E30-F30</f>
        <v>-1865</v>
      </c>
      <c r="H33" s="132">
        <v>1100</v>
      </c>
      <c r="I33" s="25">
        <v>-11900</v>
      </c>
      <c r="J33" s="25">
        <v>1200</v>
      </c>
      <c r="K33" s="63">
        <f t="shared" si="3"/>
        <v>-9600</v>
      </c>
      <c r="L33" s="150">
        <v>-24</v>
      </c>
      <c r="M33" s="153"/>
      <c r="N33" s="149">
        <f t="shared" si="6"/>
        <v>-11489</v>
      </c>
      <c r="O33" s="67">
        <f t="shared" si="1"/>
        <v>1152001.8111111107</v>
      </c>
      <c r="P33" s="7">
        <f t="shared" si="4"/>
        <v>31104048.899999987</v>
      </c>
      <c r="Q33" s="164">
        <f>Q32+N33+1</f>
        <v>1345116.15</v>
      </c>
      <c r="R33" s="29">
        <f t="shared" si="2"/>
        <v>1040.6189360440649</v>
      </c>
      <c r="S33" s="5">
        <f>SUM($Q$7:$Q33)/T33+5</f>
        <v>1325467.5574074069</v>
      </c>
      <c r="T33" s="18">
        <v>27</v>
      </c>
      <c r="U33" s="138">
        <f>B33</f>
        <v>43479</v>
      </c>
      <c r="V33" s="131" t="s">
        <v>247</v>
      </c>
      <c r="W33" s="105">
        <v>-1285303</v>
      </c>
      <c r="X33" s="167">
        <f>AVERAGE(W33:W41)</f>
        <v>-1264585.6666666667</v>
      </c>
      <c r="Y33" s="156">
        <f t="shared" si="7"/>
        <v>-1285303</v>
      </c>
      <c r="Z33" s="217">
        <f>AVERAGE(Y33:Y41)</f>
        <v>-1264585.6666666667</v>
      </c>
      <c r="AD33" s="1"/>
      <c r="AE33" s="1"/>
    </row>
    <row r="34" spans="2:31">
      <c r="B34" s="116">
        <v>43480</v>
      </c>
      <c r="C34" s="14" t="str">
        <f t="shared" si="0"/>
        <v/>
      </c>
      <c r="D34" s="87"/>
      <c r="E34" s="87">
        <v>43</v>
      </c>
      <c r="F34" s="23">
        <v>-664788</v>
      </c>
      <c r="G34" s="26">
        <f>D34+E34+F34-E33-F33</f>
        <v>6609</v>
      </c>
      <c r="H34" s="132">
        <v>-5900</v>
      </c>
      <c r="I34" s="25">
        <v>7400</v>
      </c>
      <c r="J34" s="25">
        <v>1200</v>
      </c>
      <c r="K34" s="63">
        <f t="shared" si="3"/>
        <v>2700</v>
      </c>
      <c r="L34" s="150">
        <v>7</v>
      </c>
      <c r="M34" s="153"/>
      <c r="N34" s="149">
        <f>L34+K34+G34+M34</f>
        <v>9316</v>
      </c>
      <c r="O34" s="67">
        <f t="shared" si="1"/>
        <v>1154682.3946428567</v>
      </c>
      <c r="P34" s="7">
        <f t="shared" si="4"/>
        <v>32331107.049999986</v>
      </c>
      <c r="Q34" s="164">
        <f>Q33+N34-1</f>
        <v>1354431.15</v>
      </c>
      <c r="R34" s="29">
        <f t="shared" si="2"/>
        <v>1041.4272648049423</v>
      </c>
      <c r="S34" s="5">
        <f>SUM($Q$7:$Q34)/T34</f>
        <v>1326497.1499999992</v>
      </c>
      <c r="T34" s="18">
        <v>28</v>
      </c>
      <c r="U34" s="138">
        <f>B35+6</f>
        <v>43487</v>
      </c>
      <c r="V34" s="131">
        <v>1387.4</v>
      </c>
      <c r="W34" s="105">
        <v>-1288009</v>
      </c>
      <c r="X34" s="167"/>
      <c r="Y34" s="156">
        <f>Y33-K34-L34+1</f>
        <v>-1288009</v>
      </c>
      <c r="Z34" s="217"/>
      <c r="AA34" s="92"/>
      <c r="AD34" s="1"/>
      <c r="AE34" s="1"/>
    </row>
    <row r="35" spans="2:31">
      <c r="B35" s="116">
        <v>43481</v>
      </c>
      <c r="C35" s="14" t="str">
        <f t="shared" si="0"/>
        <v/>
      </c>
      <c r="D35" s="87">
        <f>-7329+6307</f>
        <v>-1022</v>
      </c>
      <c r="E35" s="87">
        <v>42</v>
      </c>
      <c r="F35" s="23">
        <v>-643605</v>
      </c>
      <c r="G35" s="26">
        <f>D35+E35+F35-E34-F34</f>
        <v>20160</v>
      </c>
      <c r="H35" s="132">
        <v>3100</v>
      </c>
      <c r="I35" s="25">
        <v>-20000</v>
      </c>
      <c r="J35" s="25">
        <v>1200</v>
      </c>
      <c r="K35" s="63">
        <f t="shared" si="3"/>
        <v>-15700</v>
      </c>
      <c r="L35" s="150">
        <v>-44</v>
      </c>
      <c r="M35" s="153"/>
      <c r="N35" s="149">
        <f t="shared" si="6"/>
        <v>4416</v>
      </c>
      <c r="O35" s="67">
        <f t="shared" si="1"/>
        <v>1157330.386206896</v>
      </c>
      <c r="P35" s="7">
        <f t="shared" si="4"/>
        <v>33562581.199999988</v>
      </c>
      <c r="Q35" s="164">
        <f>Q34+N35</f>
        <v>1358847.15</v>
      </c>
      <c r="R35" s="29">
        <f t="shared" si="2"/>
        <v>1042.3022675460095</v>
      </c>
      <c r="S35" s="5">
        <f>SUM($Q$7:$Q35)/T35-1</f>
        <v>1327611.6672413787</v>
      </c>
      <c r="T35" s="18">
        <v>29</v>
      </c>
      <c r="U35" s="4"/>
      <c r="V35" s="131"/>
      <c r="W35" s="105">
        <v>-1272266</v>
      </c>
      <c r="X35" s="167"/>
      <c r="Y35" s="156">
        <f>Y34-K35-L35-1</f>
        <v>-1272266</v>
      </c>
      <c r="Z35" s="217"/>
      <c r="AA35" s="92"/>
      <c r="AD35" s="1"/>
      <c r="AE35" s="1"/>
    </row>
    <row r="36" spans="2:31">
      <c r="B36" s="116">
        <v>43482</v>
      </c>
      <c r="C36" s="14" t="str">
        <f t="shared" si="0"/>
        <v/>
      </c>
      <c r="D36" s="87"/>
      <c r="E36" s="87">
        <v>96</v>
      </c>
      <c r="F36" s="23">
        <v>-640559</v>
      </c>
      <c r="G36" s="26">
        <f>D36+E36+F36-E35-F35</f>
        <v>3100</v>
      </c>
      <c r="H36" s="132">
        <v>100</v>
      </c>
      <c r="I36" s="25">
        <v>-6400</v>
      </c>
      <c r="J36" s="25">
        <v>1200</v>
      </c>
      <c r="K36" s="63">
        <f t="shared" si="3"/>
        <v>-5100</v>
      </c>
      <c r="L36" s="150">
        <v>34</v>
      </c>
      <c r="M36" s="153"/>
      <c r="N36" s="149">
        <f>L36+K36+G36+M36</f>
        <v>-1966</v>
      </c>
      <c r="O36" s="67">
        <f t="shared" si="1"/>
        <v>1159736.2449999996</v>
      </c>
      <c r="P36" s="7">
        <f t="shared" si="4"/>
        <v>34792087.349999987</v>
      </c>
      <c r="Q36" s="164">
        <f>Q35+N36-2</f>
        <v>1356879.15</v>
      </c>
      <c r="R36" s="29">
        <f t="shared" si="2"/>
        <v>1043.0681672463284</v>
      </c>
      <c r="S36" s="5">
        <f>SUM($Q$7:$Q36)/T36-1</f>
        <v>1328587.2166666659</v>
      </c>
      <c r="T36" s="18">
        <v>30</v>
      </c>
      <c r="U36" s="4"/>
      <c r="V36" s="137"/>
      <c r="W36" s="105">
        <v>-1267199</v>
      </c>
      <c r="X36" s="167"/>
      <c r="Y36" s="156">
        <f>Y35-K36-L36+1</f>
        <v>-1267199</v>
      </c>
      <c r="Z36" s="217"/>
      <c r="AD36" s="1"/>
      <c r="AE36" s="1"/>
    </row>
    <row r="37" spans="2:31">
      <c r="B37" s="116">
        <v>43483</v>
      </c>
      <c r="C37" s="14" t="str">
        <f t="shared" si="0"/>
        <v/>
      </c>
      <c r="D37" s="87"/>
      <c r="E37" s="87">
        <v>63</v>
      </c>
      <c r="F37" s="23">
        <v>-637776</v>
      </c>
      <c r="G37" s="26">
        <f>D37+E37+F37-E36-F36</f>
        <v>2750</v>
      </c>
      <c r="H37" s="132">
        <v>-8400</v>
      </c>
      <c r="I37" s="25">
        <v>-1900</v>
      </c>
      <c r="J37" s="25">
        <v>1100</v>
      </c>
      <c r="K37" s="63">
        <f t="shared" si="3"/>
        <v>-9200</v>
      </c>
      <c r="L37" s="150">
        <v>-21</v>
      </c>
      <c r="M37" s="153"/>
      <c r="N37" s="149">
        <f>L37+K37+G37+M37</f>
        <v>-6471</v>
      </c>
      <c r="O37" s="67">
        <f t="shared" si="1"/>
        <v>1161778.14516129</v>
      </c>
      <c r="P37" s="7">
        <f t="shared" si="4"/>
        <v>36015122.499999985</v>
      </c>
      <c r="Q37" s="164">
        <f>Q36+N37</f>
        <v>1350408.15</v>
      </c>
      <c r="R37" s="29">
        <f t="shared" si="2"/>
        <v>1043.6223418494267</v>
      </c>
      <c r="S37" s="5">
        <f>SUM($Q$7:$Q37)/T37+1</f>
        <v>1329293.0854838702</v>
      </c>
      <c r="T37" s="18">
        <v>31</v>
      </c>
      <c r="U37" s="27"/>
      <c r="V37" s="137"/>
      <c r="W37" s="105">
        <v>-1257978</v>
      </c>
      <c r="X37" s="167"/>
      <c r="Y37" s="156">
        <f t="shared" si="7"/>
        <v>-1257978</v>
      </c>
      <c r="Z37" s="217"/>
      <c r="AA37" s="92"/>
      <c r="AD37" s="1"/>
      <c r="AE37" s="1"/>
    </row>
    <row r="38" spans="2:31">
      <c r="B38" s="116">
        <v>43484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1163692.4265624995</v>
      </c>
      <c r="P38" s="7">
        <f t="shared" si="4"/>
        <v>37238157.649999984</v>
      </c>
      <c r="Q38" s="164">
        <f t="shared" si="5"/>
        <v>1350408.15</v>
      </c>
      <c r="R38" s="29">
        <f t="shared" si="2"/>
        <v>1044.1396233895719</v>
      </c>
      <c r="S38" s="5">
        <f>SUM($Q$7:$Q38)/T38</f>
        <v>1329951.9624999992</v>
      </c>
      <c r="T38" s="18">
        <v>32</v>
      </c>
      <c r="U38" s="27"/>
      <c r="V38" s="137"/>
      <c r="W38" s="105">
        <v>-1257978</v>
      </c>
      <c r="X38" s="167"/>
      <c r="Y38" s="156">
        <f t="shared" si="7"/>
        <v>-1257978</v>
      </c>
      <c r="Z38" s="217"/>
      <c r="AD38" s="1"/>
      <c r="AE38" s="1"/>
    </row>
    <row r="39" spans="2:31">
      <c r="B39" s="116">
        <v>43485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1165490.6909090905</v>
      </c>
      <c r="P39" s="7">
        <f t="shared" si="4"/>
        <v>38461192.799999982</v>
      </c>
      <c r="Q39" s="164">
        <f t="shared" si="5"/>
        <v>1350408.15</v>
      </c>
      <c r="R39" s="29">
        <f t="shared" si="2"/>
        <v>1044.6278622390116</v>
      </c>
      <c r="S39" s="5">
        <f>SUM($Q$7:$Q39)/T39+2</f>
        <v>1330573.8469696962</v>
      </c>
      <c r="T39" s="18">
        <v>33</v>
      </c>
      <c r="U39" s="27"/>
      <c r="V39" s="137"/>
      <c r="W39" s="105">
        <v>-1257978</v>
      </c>
      <c r="X39" s="167"/>
      <c r="Y39" s="156">
        <f t="shared" si="7"/>
        <v>-1257978</v>
      </c>
      <c r="Z39" s="217"/>
      <c r="AD39" s="1"/>
      <c r="AE39" s="1"/>
    </row>
    <row r="40" spans="2:31">
      <c r="B40" s="116">
        <v>43486</v>
      </c>
      <c r="C40" s="14" t="str">
        <f t="shared" si="0"/>
        <v/>
      </c>
      <c r="D40" s="87"/>
      <c r="E40" s="87">
        <v>69</v>
      </c>
      <c r="F40" s="23">
        <v>-641856</v>
      </c>
      <c r="G40" s="26">
        <f>D40+E40+F40-E37-F37</f>
        <v>-4074</v>
      </c>
      <c r="H40" s="132">
        <v>-16400</v>
      </c>
      <c r="I40" s="25">
        <v>10200</v>
      </c>
      <c r="J40" s="25">
        <v>500</v>
      </c>
      <c r="K40" s="63">
        <f t="shared" si="3"/>
        <v>-5700</v>
      </c>
      <c r="L40" s="150">
        <v>44</v>
      </c>
      <c r="M40" s="153"/>
      <c r="N40" s="149">
        <f t="shared" si="6"/>
        <v>-9730</v>
      </c>
      <c r="O40" s="67">
        <f t="shared" si="1"/>
        <v>1166896.9985294112</v>
      </c>
      <c r="P40" s="7">
        <f t="shared" si="4"/>
        <v>39674497.949999981</v>
      </c>
      <c r="Q40" s="164">
        <f>Q39+N40</f>
        <v>1340678.1499999999</v>
      </c>
      <c r="R40" s="29">
        <f t="shared" si="2"/>
        <v>1044.8596572087254</v>
      </c>
      <c r="S40" s="5">
        <f>SUM($Q$7:$Q40)/T40</f>
        <v>1330869.0911764698</v>
      </c>
      <c r="T40" s="18">
        <v>34</v>
      </c>
      <c r="U40" s="138">
        <f>B40</f>
        <v>43486</v>
      </c>
      <c r="V40" s="131" t="s">
        <v>248</v>
      </c>
      <c r="W40" s="105">
        <v>-1252321</v>
      </c>
      <c r="X40" s="167">
        <f>AVERAGE(W40:W48)</f>
        <v>-1250389.888888889</v>
      </c>
      <c r="Y40" s="156">
        <f>Y39-K40-L40+1</f>
        <v>-1252321</v>
      </c>
      <c r="Z40" s="217">
        <f>AVERAGE(Y40:Y48)</f>
        <v>-1250389.888888889</v>
      </c>
      <c r="AD40" s="1"/>
      <c r="AE40" s="1"/>
    </row>
    <row r="41" spans="2:31">
      <c r="B41" s="116">
        <v>43487</v>
      </c>
      <c r="C41" s="14" t="str">
        <f t="shared" si="0"/>
        <v/>
      </c>
      <c r="D41" s="87"/>
      <c r="E41" s="87">
        <v>47</v>
      </c>
      <c r="F41" s="23">
        <v>-640521</v>
      </c>
      <c r="G41" s="26">
        <f>D41+E41+F41-E40-F40</f>
        <v>1313</v>
      </c>
      <c r="H41" s="132">
        <v>200</v>
      </c>
      <c r="I41" s="25">
        <v>-10880</v>
      </c>
      <c r="J41" s="25">
        <v>600</v>
      </c>
      <c r="K41" s="63">
        <f t="shared" si="3"/>
        <v>-10080</v>
      </c>
      <c r="L41" s="150">
        <v>-1</v>
      </c>
      <c r="M41" s="153"/>
      <c r="N41" s="149">
        <f>L41+K41+G41+M41</f>
        <v>-8768</v>
      </c>
      <c r="O41" s="67">
        <f t="shared" si="1"/>
        <v>1167972.4028571423</v>
      </c>
      <c r="P41" s="7">
        <f t="shared" si="4"/>
        <v>40879034.099999979</v>
      </c>
      <c r="Q41" s="164">
        <f>Q40+N41-1</f>
        <v>1331909.1499999999</v>
      </c>
      <c r="R41" s="29">
        <f t="shared" si="2"/>
        <v>1044.8829870874174</v>
      </c>
      <c r="S41" s="5">
        <f>SUM($Q$7:$Q41)/T41</f>
        <v>1330898.8071428563</v>
      </c>
      <c r="T41" s="18">
        <v>35</v>
      </c>
      <c r="U41" s="138">
        <f>B42+6</f>
        <v>43494</v>
      </c>
      <c r="V41" s="131">
        <v>1402.8</v>
      </c>
      <c r="W41" s="105">
        <v>-1242239</v>
      </c>
      <c r="X41" s="167"/>
      <c r="Y41" s="156">
        <f>Y40-K41-L41+1</f>
        <v>-1242239</v>
      </c>
      <c r="Z41" s="217"/>
      <c r="AD41" s="1"/>
      <c r="AE41" s="1"/>
    </row>
    <row r="42" spans="2:31">
      <c r="B42" s="116">
        <v>43488</v>
      </c>
      <c r="C42" s="14" t="str">
        <f t="shared" si="0"/>
        <v/>
      </c>
      <c r="D42" s="87">
        <f>-6307+6575.7</f>
        <v>268.69999999999982</v>
      </c>
      <c r="E42" s="87">
        <v>25</v>
      </c>
      <c r="F42" s="23">
        <v>-652799</v>
      </c>
      <c r="G42" s="26">
        <f>D42+E42+F42-E41-F41</f>
        <v>-12031.300000000047</v>
      </c>
      <c r="H42" s="132">
        <v>-1800</v>
      </c>
      <c r="I42" s="25">
        <v>3100</v>
      </c>
      <c r="J42" s="25">
        <v>800</v>
      </c>
      <c r="K42" s="63">
        <f t="shared" si="3"/>
        <v>2100</v>
      </c>
      <c r="L42" s="150">
        <v>-43</v>
      </c>
      <c r="M42" s="153"/>
      <c r="N42" s="149">
        <f>L42+K42+G42+M42</f>
        <v>-9974.3000000000466</v>
      </c>
      <c r="O42" s="67">
        <f t="shared" si="1"/>
        <v>1168710.9708333327</v>
      </c>
      <c r="P42" s="7">
        <f t="shared" si="4"/>
        <v>42073594.949999981</v>
      </c>
      <c r="Q42" s="164">
        <f>Q41+N42-1</f>
        <v>1321933.8499999999</v>
      </c>
      <c r="R42" s="29">
        <f t="shared" si="2"/>
        <v>1044.6874773739762</v>
      </c>
      <c r="S42" s="5">
        <f>SUM($Q$7:$Q42)/T42</f>
        <v>1330649.7805555547</v>
      </c>
      <c r="T42" s="18">
        <v>36</v>
      </c>
      <c r="U42" s="4"/>
      <c r="V42" s="131"/>
      <c r="W42" s="105">
        <v>-1244295</v>
      </c>
      <c r="X42" s="167"/>
      <c r="Y42" s="156">
        <f>Y41-K42-L42+1</f>
        <v>-1244295</v>
      </c>
      <c r="Z42" s="217"/>
      <c r="AA42" s="92"/>
      <c r="AD42" s="1"/>
      <c r="AE42" s="1"/>
    </row>
    <row r="43" spans="2:31">
      <c r="B43" s="116">
        <v>43489</v>
      </c>
      <c r="C43" s="14" t="str">
        <f t="shared" si="0"/>
        <v/>
      </c>
      <c r="D43" s="87"/>
      <c r="E43" s="87">
        <v>25</v>
      </c>
      <c r="F43" s="23">
        <v>-640239</v>
      </c>
      <c r="G43" s="26">
        <f>D43+E43+F43-E42-F42</f>
        <v>12560</v>
      </c>
      <c r="H43" s="132">
        <v>700</v>
      </c>
      <c r="I43" s="25">
        <v>3050</v>
      </c>
      <c r="J43" s="25">
        <v>800</v>
      </c>
      <c r="K43" s="63">
        <f t="shared" si="3"/>
        <v>4550</v>
      </c>
      <c r="L43" s="150">
        <v>27</v>
      </c>
      <c r="M43" s="153"/>
      <c r="N43" s="149">
        <f t="shared" si="6"/>
        <v>17137</v>
      </c>
      <c r="O43" s="67">
        <f t="shared" si="1"/>
        <v>1169872.7783783779</v>
      </c>
      <c r="P43" s="7">
        <f t="shared" si="4"/>
        <v>43285292.799999982</v>
      </c>
      <c r="Q43" s="164">
        <f>Q42+N43</f>
        <v>1339070.8499999999</v>
      </c>
      <c r="R43" s="29">
        <f t="shared" si="2"/>
        <v>1044.8661623947198</v>
      </c>
      <c r="S43" s="5">
        <f>SUM($Q$7:$Q43)/T43</f>
        <v>1330877.3770270264</v>
      </c>
      <c r="T43" s="18">
        <v>37</v>
      </c>
      <c r="U43" s="4"/>
      <c r="V43" s="137"/>
      <c r="W43" s="105">
        <v>-1248873</v>
      </c>
      <c r="X43" s="167"/>
      <c r="Y43" s="156">
        <f>Y42-K43-L43-1</f>
        <v>-1248873</v>
      </c>
      <c r="Z43" s="217"/>
      <c r="AA43" s="92"/>
      <c r="AD43" s="1"/>
      <c r="AE43" s="1"/>
    </row>
    <row r="44" spans="2:31">
      <c r="B44" s="116">
        <v>43490</v>
      </c>
      <c r="C44" s="14" t="str">
        <f t="shared" si="0"/>
        <v/>
      </c>
      <c r="D44" s="87"/>
      <c r="E44" s="87">
        <v>37</v>
      </c>
      <c r="F44" s="23">
        <v>-640205</v>
      </c>
      <c r="G44" s="26">
        <f>D44+E44+F44-E43-F43-68</f>
        <v>-22</v>
      </c>
      <c r="H44" s="132">
        <v>700</v>
      </c>
      <c r="I44" s="25">
        <v>4200</v>
      </c>
      <c r="J44" s="25">
        <v>800</v>
      </c>
      <c r="K44" s="63">
        <f t="shared" si="3"/>
        <v>5700</v>
      </c>
      <c r="L44" s="150">
        <v>45</v>
      </c>
      <c r="M44" s="153"/>
      <c r="N44" s="149">
        <f t="shared" si="6"/>
        <v>5723</v>
      </c>
      <c r="O44" s="67">
        <f t="shared" si="1"/>
        <v>1171124.0697368416</v>
      </c>
      <c r="P44" s="7">
        <f t="shared" si="4"/>
        <v>44502714.649999984</v>
      </c>
      <c r="Q44" s="164">
        <f>Q43+N44+1</f>
        <v>1344794.8499999999</v>
      </c>
      <c r="R44" s="29">
        <f t="shared" si="2"/>
        <v>1045.1529180562511</v>
      </c>
      <c r="S44" s="5">
        <f>SUM($Q$7:$Q44)/T44-1</f>
        <v>1331242.6263157888</v>
      </c>
      <c r="T44" s="18">
        <v>38</v>
      </c>
      <c r="U44" s="27"/>
      <c r="V44" s="137"/>
      <c r="W44" s="105">
        <v>-1254618</v>
      </c>
      <c r="X44" s="167"/>
      <c r="Y44" s="156">
        <f t="shared" si="7"/>
        <v>-1254618</v>
      </c>
      <c r="Z44" s="217"/>
      <c r="AA44" s="92"/>
      <c r="AD44" s="1"/>
      <c r="AE44" s="1"/>
    </row>
    <row r="45" spans="2:31">
      <c r="B45" s="116">
        <v>43491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1172311.192307692</v>
      </c>
      <c r="P45" s="7">
        <f t="shared" si="4"/>
        <v>45720136.499999985</v>
      </c>
      <c r="Q45" s="164">
        <f t="shared" si="5"/>
        <v>1344794.8499999999</v>
      </c>
      <c r="R45" s="29">
        <f t="shared" si="2"/>
        <v>1045.4264982294071</v>
      </c>
      <c r="S45" s="5">
        <f>SUM($Q$7:$Q45)/T45</f>
        <v>1331591.0935897429</v>
      </c>
      <c r="T45" s="18">
        <v>39</v>
      </c>
      <c r="U45" s="27"/>
      <c r="V45" s="137"/>
      <c r="W45" s="105">
        <v>-1254618</v>
      </c>
      <c r="X45" s="167"/>
      <c r="Y45" s="156">
        <f t="shared" si="7"/>
        <v>-1254618</v>
      </c>
      <c r="Z45" s="217"/>
      <c r="AD45" s="1"/>
      <c r="AE45" s="1"/>
    </row>
    <row r="46" spans="2:31">
      <c r="B46" s="116">
        <v>43492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1173438.9587499998</v>
      </c>
      <c r="P46" s="7">
        <f t="shared" si="4"/>
        <v>46937558.349999987</v>
      </c>
      <c r="Q46" s="164">
        <f t="shared" si="5"/>
        <v>1344794.8499999999</v>
      </c>
      <c r="R46" s="29">
        <f t="shared" si="2"/>
        <v>1045.6856535529503</v>
      </c>
      <c r="S46" s="5">
        <f>SUM($Q$7:$Q46)/T46</f>
        <v>1331921.1874999995</v>
      </c>
      <c r="T46" s="18">
        <v>40</v>
      </c>
      <c r="U46" s="27"/>
      <c r="V46" s="137"/>
      <c r="W46" s="105">
        <v>-1254618</v>
      </c>
      <c r="X46" s="167"/>
      <c r="Y46" s="156">
        <f t="shared" si="7"/>
        <v>-1254618</v>
      </c>
      <c r="Z46" s="217"/>
      <c r="AD46" s="1"/>
      <c r="AE46" s="1"/>
    </row>
    <row r="47" spans="2:31">
      <c r="B47" s="116">
        <v>43493</v>
      </c>
      <c r="C47" s="14" t="str">
        <f t="shared" si="0"/>
        <v/>
      </c>
      <c r="D47" s="87"/>
      <c r="E47" s="87">
        <v>68</v>
      </c>
      <c r="F47" s="23">
        <v>-641975</v>
      </c>
      <c r="G47" s="26">
        <f>D47+E47+F47-E44-F44+67</f>
        <v>-1672</v>
      </c>
      <c r="H47" s="132">
        <v>700</v>
      </c>
      <c r="I47" s="25">
        <v>-3800</v>
      </c>
      <c r="J47" s="25">
        <v>-500</v>
      </c>
      <c r="K47" s="63">
        <f t="shared" si="3"/>
        <v>-3600</v>
      </c>
      <c r="L47" s="150">
        <v>8</v>
      </c>
      <c r="M47" s="153"/>
      <c r="N47" s="149">
        <f t="shared" si="6"/>
        <v>-5264</v>
      </c>
      <c r="O47" s="67">
        <f t="shared" si="1"/>
        <v>1174383.3219512191</v>
      </c>
      <c r="P47" s="7">
        <f t="shared" si="4"/>
        <v>48149716.199999988</v>
      </c>
      <c r="Q47" s="164">
        <f t="shared" si="5"/>
        <v>1339530.8499999999</v>
      </c>
      <c r="R47" s="29">
        <f t="shared" si="2"/>
        <v>1045.8313685195369</v>
      </c>
      <c r="S47" s="5">
        <f>SUM($Q$7:$Q47)/T47</f>
        <v>1332106.7890243898</v>
      </c>
      <c r="T47" s="18">
        <v>41</v>
      </c>
      <c r="U47" s="138"/>
      <c r="V47" s="137"/>
      <c r="W47" s="105">
        <v>-1251026</v>
      </c>
      <c r="X47" s="167"/>
      <c r="Y47" s="156">
        <f t="shared" si="7"/>
        <v>-1251026</v>
      </c>
      <c r="Z47" s="217"/>
      <c r="AD47" s="1"/>
      <c r="AE47" s="1"/>
    </row>
    <row r="48" spans="2:31" ht="13.7" customHeight="1" thickBot="1">
      <c r="B48" s="220">
        <v>43494</v>
      </c>
      <c r="C48" s="221" t="str">
        <f t="shared" si="0"/>
        <v/>
      </c>
      <c r="D48" s="222"/>
      <c r="E48" s="222">
        <v>157</v>
      </c>
      <c r="F48" s="223">
        <v>-648349</v>
      </c>
      <c r="G48" s="224">
        <f>D48+E48+F48-E47-F47</f>
        <v>-6285</v>
      </c>
      <c r="H48" s="225">
        <v>-3100</v>
      </c>
      <c r="I48" s="226">
        <v>3500</v>
      </c>
      <c r="J48" s="226">
        <v>-500</v>
      </c>
      <c r="K48" s="227">
        <f t="shared" si="3"/>
        <v>-100</v>
      </c>
      <c r="L48" s="228">
        <v>-25</v>
      </c>
      <c r="M48" s="229"/>
      <c r="N48" s="230">
        <f>L48+K48+G48+M48</f>
        <v>-6410</v>
      </c>
      <c r="O48" s="231">
        <f t="shared" si="1"/>
        <v>1175130.0964285713</v>
      </c>
      <c r="P48" s="232">
        <f t="shared" si="4"/>
        <v>49355464.04999999</v>
      </c>
      <c r="Q48" s="233">
        <f>Q47+N48</f>
        <v>1333120.8499999999</v>
      </c>
      <c r="R48" s="234">
        <f t="shared" si="2"/>
        <v>1045.8503241136921</v>
      </c>
      <c r="S48" s="235">
        <f>SUM($Q$7:$Q48)/T48</f>
        <v>1332130.9333333329</v>
      </c>
      <c r="T48" s="236">
        <v>42</v>
      </c>
      <c r="U48" s="237"/>
      <c r="V48" s="238"/>
      <c r="W48" s="239">
        <v>-1250901</v>
      </c>
      <c r="X48" s="240"/>
      <c r="Y48" s="241">
        <f t="shared" si="7"/>
        <v>-1250901</v>
      </c>
      <c r="Z48" s="242"/>
      <c r="AA48" s="92"/>
      <c r="AD48" s="1"/>
      <c r="AE48" s="1"/>
    </row>
    <row r="49" spans="2:27" s="4" customFormat="1" ht="13.7" customHeigh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80"/>
      <c r="N49" s="181"/>
      <c r="O49" s="181"/>
      <c r="P49" s="182"/>
      <c r="Q49" s="183"/>
      <c r="R49" s="184"/>
      <c r="S49" s="6"/>
      <c r="T49" s="182"/>
      <c r="U49" s="185"/>
      <c r="V49" s="186"/>
      <c r="W49" s="187"/>
      <c r="X49" s="188"/>
      <c r="Y49" s="181"/>
      <c r="Z49" s="188"/>
      <c r="AA49" s="194"/>
    </row>
    <row r="50" spans="2:27" ht="12.75" thickBot="1">
      <c r="B50" s="4"/>
      <c r="C50" s="30"/>
      <c r="D50" s="189" t="s">
        <v>58</v>
      </c>
      <c r="E50" s="190"/>
      <c r="F50" s="191"/>
      <c r="G50" s="192"/>
      <c r="H50" s="11"/>
      <c r="I50" s="11"/>
      <c r="J50" s="11"/>
      <c r="K50" s="11"/>
      <c r="L50" s="11"/>
      <c r="M50" s="11"/>
      <c r="N50" s="4"/>
    </row>
    <row r="51" spans="2:27" ht="12.75" thickTop="1">
      <c r="D51" s="27" t="s">
        <v>59</v>
      </c>
      <c r="E51" s="139"/>
      <c r="F51" s="142"/>
      <c r="G51" s="90">
        <f>'Nov 2018'!Q55</f>
        <v>1345870.15</v>
      </c>
      <c r="H51" s="11"/>
      <c r="I51" s="11"/>
      <c r="J51" s="11"/>
      <c r="K51" s="12"/>
      <c r="L51" s="12"/>
      <c r="M51" s="12"/>
      <c r="N51" s="4"/>
    </row>
    <row r="52" spans="2:27">
      <c r="D52" s="138" t="s">
        <v>4</v>
      </c>
      <c r="E52" s="139"/>
      <c r="F52" s="143"/>
      <c r="G52" s="91">
        <f>'Nov 2018'!E55</f>
        <v>81</v>
      </c>
      <c r="H52" s="13"/>
      <c r="I52" s="13"/>
      <c r="J52" s="13"/>
      <c r="K52" s="13"/>
      <c r="L52" s="13"/>
      <c r="M52" s="13"/>
      <c r="N52" s="6"/>
    </row>
    <row r="53" spans="2:27">
      <c r="D53" s="138" t="s">
        <v>60</v>
      </c>
      <c r="E53" s="144"/>
      <c r="F53" s="143"/>
      <c r="G53" s="91">
        <f>'Nov 2018'!F55</f>
        <v>-635054</v>
      </c>
      <c r="H53" s="13"/>
      <c r="I53" s="13"/>
      <c r="J53" s="13"/>
      <c r="K53" s="13"/>
      <c r="L53" s="13"/>
      <c r="M53" s="13"/>
      <c r="N53" s="6"/>
    </row>
    <row r="54" spans="2:27" ht="12.75" thickBot="1">
      <c r="D54" s="140" t="s">
        <v>46</v>
      </c>
      <c r="E54" s="145"/>
      <c r="F54" s="146"/>
      <c r="G54" s="158">
        <f>'Nov 2018'!Y55</f>
        <v>-1247071</v>
      </c>
      <c r="H54" s="13"/>
      <c r="I54" s="13"/>
      <c r="J54" s="13"/>
      <c r="K54" s="13"/>
      <c r="L54" s="13"/>
      <c r="M54" s="95"/>
      <c r="N54" s="6"/>
    </row>
    <row r="55" spans="2:27" ht="12.75" thickTop="1"/>
    <row r="65517" spans="23:23">
      <c r="W65517" s="105"/>
    </row>
    <row r="65524" spans="23:23">
      <c r="W65524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0F5C-A3F4-4452-B395-4B80D336D87D}">
  <sheetPr codeName="Sheet32">
    <pageSetUpPr fitToPage="1"/>
  </sheetPr>
  <dimension ref="B1:IU65520"/>
  <sheetViews>
    <sheetView zoomScale="120" zoomScaleNormal="120" workbookViewId="0">
      <pane xSplit="2" ySplit="6" topLeftCell="D45" activePane="bottomRight" state="frozen"/>
      <selection pane="topRight" activeCell="C1" sqref="C1"/>
      <selection pane="bottomLeft" activeCell="A7" sqref="A7"/>
      <selection pane="bottomRight" activeCell="H48" sqref="H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157772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44671</v>
      </c>
      <c r="C7" s="196" t="str">
        <f t="shared" ref="C7:C41" si="0">IF(OR(WEEKDAY(B7)=1,WEEKDAY(B7)=7),"F","")</f>
        <v/>
      </c>
      <c r="D7" s="197">
        <f>-540+474</f>
        <v>-66</v>
      </c>
      <c r="E7" s="197">
        <v>5</v>
      </c>
      <c r="F7" s="198">
        <v>-572358</v>
      </c>
      <c r="G7" s="199">
        <f>D7+E7+F7-G67-G68</f>
        <v>152364</v>
      </c>
      <c r="H7" s="132">
        <v>-200</v>
      </c>
      <c r="I7" s="63">
        <v>7400</v>
      </c>
      <c r="J7" s="63">
        <v>200</v>
      </c>
      <c r="K7" s="170">
        <f t="shared" ref="K7:K9" si="1">+H7+I7+J7</f>
        <v>7400</v>
      </c>
      <c r="L7" s="169">
        <v>-35</v>
      </c>
      <c r="M7" s="203"/>
      <c r="N7" s="204">
        <f>L7+K7+G7+M7</f>
        <v>159729</v>
      </c>
      <c r="O7" s="205">
        <f t="shared" ref="O7:O41" si="2">P7/T7</f>
        <v>3982104.45</v>
      </c>
      <c r="P7" s="206">
        <f>(+$Q7-$Q$3)</f>
        <v>3982104.45</v>
      </c>
      <c r="Q7" s="207">
        <f>G66+N7-100</f>
        <v>4139876.45</v>
      </c>
      <c r="R7" s="208">
        <f t="shared" ref="R7:R62" si="3">$S7/$Q$3*100</f>
        <v>2623.9614443627511</v>
      </c>
      <c r="S7" s="209">
        <f>$Q7</f>
        <v>4139876.45</v>
      </c>
      <c r="T7" s="210">
        <v>1</v>
      </c>
      <c r="U7" s="211">
        <f>B7</f>
        <v>44671</v>
      </c>
      <c r="V7" s="212">
        <v>2357.9</v>
      </c>
      <c r="W7" s="213">
        <v>-2512961</v>
      </c>
      <c r="X7" s="214">
        <f>AVERAGE(W7:W11)</f>
        <v>-2516461.2000000002</v>
      </c>
      <c r="Y7" s="215">
        <f>G69-K7-L7</f>
        <v>-2512961</v>
      </c>
      <c r="Z7" s="216">
        <f>AVERAGE(Y7:Y13)</f>
        <v>-2522011.4285714286</v>
      </c>
      <c r="AA7" s="92"/>
    </row>
    <row r="8" spans="2:255">
      <c r="B8" s="116">
        <v>44672</v>
      </c>
      <c r="C8" s="14"/>
      <c r="D8" s="87"/>
      <c r="E8" s="128">
        <v>45</v>
      </c>
      <c r="F8" s="162">
        <v>-568218</v>
      </c>
      <c r="G8" s="26">
        <f>D8+E8+F8-E7-F7</f>
        <v>4180</v>
      </c>
      <c r="H8" s="132">
        <v>-13300</v>
      </c>
      <c r="I8" s="63">
        <v>13900</v>
      </c>
      <c r="J8" s="63">
        <v>200</v>
      </c>
      <c r="K8" s="170">
        <f t="shared" si="1"/>
        <v>800</v>
      </c>
      <c r="L8" s="171">
        <v>-13</v>
      </c>
      <c r="M8" s="153"/>
      <c r="N8" s="149">
        <f>L8+K8+G8+M8</f>
        <v>4967</v>
      </c>
      <c r="O8" s="67">
        <f t="shared" si="2"/>
        <v>1993535.7250000001</v>
      </c>
      <c r="P8" s="163">
        <f>(IF($Q8&lt;0,-$Q$3+P6,($Q8-$Q$3)+P6))</f>
        <v>3987071.45</v>
      </c>
      <c r="Q8" s="164">
        <f>Q7+N8</f>
        <v>4144843.45</v>
      </c>
      <c r="R8" s="29">
        <f t="shared" si="3"/>
        <v>2625.535551301879</v>
      </c>
      <c r="S8" s="165">
        <f>SUM($Q$7:$Q8)/T8</f>
        <v>4142359.95</v>
      </c>
      <c r="T8" s="166">
        <v>2</v>
      </c>
      <c r="U8" s="138">
        <f>B7+6</f>
        <v>44677</v>
      </c>
      <c r="V8" s="131"/>
      <c r="W8" s="105">
        <v>-2513749</v>
      </c>
      <c r="X8" s="167"/>
      <c r="Y8" s="156">
        <f>Y7-K8-L8-1</f>
        <v>-2513749</v>
      </c>
      <c r="Z8" s="217"/>
      <c r="AA8" s="92"/>
    </row>
    <row r="9" spans="2:255">
      <c r="B9" s="116">
        <v>44673</v>
      </c>
      <c r="C9" s="14" t="str">
        <f t="shared" si="0"/>
        <v/>
      </c>
      <c r="D9" s="87"/>
      <c r="E9" s="87">
        <v>45</v>
      </c>
      <c r="F9" s="23">
        <v>-562025</v>
      </c>
      <c r="G9" s="26">
        <f>D9+E9+F9-E8-F8</f>
        <v>6193</v>
      </c>
      <c r="H9" s="132">
        <v>-8400</v>
      </c>
      <c r="I9" s="63">
        <v>12900</v>
      </c>
      <c r="J9" s="63">
        <v>200</v>
      </c>
      <c r="K9" s="170">
        <f t="shared" si="1"/>
        <v>4700</v>
      </c>
      <c r="L9" s="171">
        <v>86</v>
      </c>
      <c r="M9" s="153"/>
      <c r="N9" s="149">
        <f>L9+K9+G9+M9</f>
        <v>10979</v>
      </c>
      <c r="O9" s="67">
        <f t="shared" si="2"/>
        <v>2660050.9666666668</v>
      </c>
      <c r="P9" s="7">
        <f>(IF($Q9&lt;0,-$Q$3+P7,($Q9-$Q$3)+P7))</f>
        <v>7980152.9000000004</v>
      </c>
      <c r="Q9" s="164">
        <f>Q8+N9-2</f>
        <v>4155820.45</v>
      </c>
      <c r="R9" s="29">
        <f t="shared" si="3"/>
        <v>2628.3800568753227</v>
      </c>
      <c r="S9" s="5">
        <f>SUM($Q$7:$Q9)/T9+1</f>
        <v>4146847.7833333337</v>
      </c>
      <c r="T9" s="17">
        <v>3</v>
      </c>
      <c r="U9" s="4"/>
      <c r="V9" s="131"/>
      <c r="W9" s="105">
        <v>-2518532</v>
      </c>
      <c r="X9" s="167"/>
      <c r="Y9" s="156">
        <f>Y8-K9-L9+3</f>
        <v>-2518532</v>
      </c>
      <c r="Z9" s="217"/>
      <c r="AA9" s="92"/>
    </row>
    <row r="10" spans="2:255">
      <c r="B10" s="116">
        <v>44674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2994550.3375000004</v>
      </c>
      <c r="P10" s="7">
        <f t="shared" ref="P10:P62" si="4">(IF($Q10&lt;0,-$Q$3+P9,($Q10-$Q$3)+P9))</f>
        <v>11978201.350000001</v>
      </c>
      <c r="Q10" s="164">
        <f>Q9+N10</f>
        <v>4155820.45</v>
      </c>
      <c r="R10" s="29">
        <f t="shared" si="3"/>
        <v>2629.8007250969754</v>
      </c>
      <c r="S10" s="5">
        <f>SUM($Q$7:$Q10)/T10-1</f>
        <v>4149089.2</v>
      </c>
      <c r="T10" s="17">
        <v>4</v>
      </c>
      <c r="U10" s="27"/>
      <c r="V10" s="133"/>
      <c r="W10" s="105">
        <v>-2518532</v>
      </c>
      <c r="X10" s="167"/>
      <c r="Y10" s="156">
        <f>Y9-K10-L10</f>
        <v>-2518532</v>
      </c>
      <c r="Z10" s="217"/>
      <c r="AA10" s="92"/>
    </row>
    <row r="11" spans="2:255">
      <c r="B11" s="116">
        <v>44675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3195249.96</v>
      </c>
      <c r="P11" s="7">
        <f t="shared" si="4"/>
        <v>15976249.800000001</v>
      </c>
      <c r="Q11" s="164">
        <f t="shared" ref="Q11:Q18" si="5">Q10+N11</f>
        <v>4155820.45</v>
      </c>
      <c r="R11" s="29">
        <f t="shared" si="3"/>
        <v>2630.6545204472277</v>
      </c>
      <c r="S11" s="5">
        <f>SUM($Q$7:$Q11)/T11</f>
        <v>4150436.25</v>
      </c>
      <c r="T11" s="17">
        <v>5</v>
      </c>
      <c r="U11" s="27"/>
      <c r="V11" s="134"/>
      <c r="W11" s="105">
        <v>-2518532</v>
      </c>
      <c r="X11" s="167"/>
      <c r="Y11" s="156">
        <f t="shared" ref="Y11:Y39" si="6">Y10-K11-L11</f>
        <v>-2518532</v>
      </c>
      <c r="Z11" s="217"/>
      <c r="AA11" s="92"/>
    </row>
    <row r="12" spans="2:255">
      <c r="B12" s="116">
        <v>44676</v>
      </c>
      <c r="C12" s="14" t="str">
        <f t="shared" si="0"/>
        <v/>
      </c>
      <c r="D12" s="87"/>
      <c r="E12" s="161">
        <v>46</v>
      </c>
      <c r="F12" s="23">
        <v>-571162</v>
      </c>
      <c r="G12" s="26">
        <f>D12+E12+F12-E9-F9</f>
        <v>-9136</v>
      </c>
      <c r="H12" s="132">
        <v>300</v>
      </c>
      <c r="I12" s="63">
        <v>24200</v>
      </c>
      <c r="J12" s="63">
        <v>-300</v>
      </c>
      <c r="K12" s="170">
        <f t="shared" ref="K12:K62" si="7">+H12+I12+J12</f>
        <v>24200</v>
      </c>
      <c r="L12" s="171">
        <v>39</v>
      </c>
      <c r="M12" s="153"/>
      <c r="N12" s="149">
        <f t="shared" ref="N12:N41" si="8">L12+K12+G12+M12</f>
        <v>15103</v>
      </c>
      <c r="O12" s="67">
        <f t="shared" si="2"/>
        <v>3331566.875</v>
      </c>
      <c r="P12" s="7">
        <f t="shared" si="4"/>
        <v>19989401.25</v>
      </c>
      <c r="Q12" s="164">
        <f>Q11+N12</f>
        <v>4170923.45</v>
      </c>
      <c r="R12" s="29">
        <f t="shared" si="3"/>
        <v>2632.8174728933736</v>
      </c>
      <c r="S12" s="5">
        <f>SUM($Q$7:$Q12)/T12-2</f>
        <v>4153848.7833333332</v>
      </c>
      <c r="T12" s="17">
        <v>6</v>
      </c>
      <c r="U12" s="138">
        <f>B13</f>
        <v>44677</v>
      </c>
      <c r="V12" s="310">
        <f>2340.4</f>
        <v>2340.4</v>
      </c>
      <c r="W12" s="105">
        <v>-2542771</v>
      </c>
      <c r="X12" s="167">
        <f>AVERAGE(W12:W20)</f>
        <v>-2522152.888888889</v>
      </c>
      <c r="Y12" s="156">
        <f>Y11-K12-L12</f>
        <v>-2542771</v>
      </c>
      <c r="Z12" s="217">
        <f>AVERAGE(Y12:Y20)</f>
        <v>-2522152.888888889</v>
      </c>
      <c r="AA12" s="92"/>
    </row>
    <row r="13" spans="2:255">
      <c r="B13" s="116">
        <v>44677</v>
      </c>
      <c r="C13" s="14"/>
      <c r="D13" s="87"/>
      <c r="E13" s="87">
        <v>6</v>
      </c>
      <c r="F13" s="23">
        <v>-577127</v>
      </c>
      <c r="G13" s="26">
        <f>D13+E13+F13-E12-F12</f>
        <v>-6005</v>
      </c>
      <c r="H13" s="132">
        <v>-3100</v>
      </c>
      <c r="I13" s="63">
        <v>-10300</v>
      </c>
      <c r="J13" s="63">
        <v>-400</v>
      </c>
      <c r="K13" s="170">
        <f t="shared" si="7"/>
        <v>-13800</v>
      </c>
      <c r="L13" s="171">
        <v>32</v>
      </c>
      <c r="M13" s="153"/>
      <c r="N13" s="149">
        <f t="shared" si="8"/>
        <v>-19773</v>
      </c>
      <c r="O13" s="67">
        <f t="shared" si="2"/>
        <v>3426111.2428571428</v>
      </c>
      <c r="P13" s="7">
        <f>(IF($Q13&lt;0,-$Q$3+P12,($Q13-$Q$3)+P12))</f>
        <v>23982778.699999999</v>
      </c>
      <c r="Q13" s="164">
        <f>Q12+N13-1</f>
        <v>4151149.45</v>
      </c>
      <c r="R13" s="29">
        <f t="shared" si="3"/>
        <v>2632.5728764111682</v>
      </c>
      <c r="S13" s="5">
        <f>SUM($Q$7:$Q13)/T13-2</f>
        <v>4153462.8785714284</v>
      </c>
      <c r="T13" s="17">
        <v>7</v>
      </c>
      <c r="U13" s="138">
        <f>B14+6</f>
        <v>44684</v>
      </c>
      <c r="V13" s="249"/>
      <c r="W13" s="105">
        <v>-2529003</v>
      </c>
      <c r="X13" s="167"/>
      <c r="Y13" s="156">
        <f t="shared" ref="Y13:Y14" si="9">Y12-K13-L13</f>
        <v>-2529003</v>
      </c>
      <c r="Z13" s="217"/>
      <c r="AA13" s="92"/>
      <c r="AB13" s="92"/>
    </row>
    <row r="14" spans="2:255">
      <c r="B14" s="116">
        <v>44678</v>
      </c>
      <c r="C14" s="14"/>
      <c r="D14" s="87">
        <f>-474+721</f>
        <v>247</v>
      </c>
      <c r="E14" s="87">
        <v>9</v>
      </c>
      <c r="F14" s="23">
        <v>-580982</v>
      </c>
      <c r="G14" s="26">
        <f>D14+E14+F14-E13-F13</f>
        <v>-3605</v>
      </c>
      <c r="H14" s="132">
        <v>300</v>
      </c>
      <c r="I14" s="63">
        <v>-2100</v>
      </c>
      <c r="J14" s="63">
        <v>-400</v>
      </c>
      <c r="K14" s="170">
        <f t="shared" si="7"/>
        <v>-2200</v>
      </c>
      <c r="L14" s="171">
        <v>22</v>
      </c>
      <c r="M14" s="154"/>
      <c r="N14" s="149">
        <f>L14+K14+G14+M14</f>
        <v>-5783</v>
      </c>
      <c r="O14" s="67">
        <f t="shared" si="2"/>
        <v>3496296.7687499998</v>
      </c>
      <c r="P14" s="7">
        <f t="shared" si="4"/>
        <v>27970374.149999999</v>
      </c>
      <c r="Q14" s="164">
        <f>Q13+N14+1</f>
        <v>4145367.45</v>
      </c>
      <c r="R14" s="29">
        <f t="shared" si="3"/>
        <v>2631.931965114215</v>
      </c>
      <c r="S14" s="5">
        <f>SUM($Q$7:$Q14)/T14-1</f>
        <v>4152451.6999999997</v>
      </c>
      <c r="T14" s="17">
        <v>8</v>
      </c>
      <c r="U14" s="4"/>
      <c r="V14" s="4"/>
      <c r="W14" s="105">
        <v>-2526825</v>
      </c>
      <c r="X14" s="167"/>
      <c r="Y14" s="156">
        <f t="shared" si="9"/>
        <v>-2526825</v>
      </c>
      <c r="Z14" s="217"/>
      <c r="AA14" s="92"/>
    </row>
    <row r="15" spans="2:255">
      <c r="B15" s="116">
        <v>44679</v>
      </c>
      <c r="C15" s="14" t="str">
        <f t="shared" si="0"/>
        <v/>
      </c>
      <c r="D15" s="87">
        <f>-10+58</f>
        <v>48</v>
      </c>
      <c r="E15" s="87">
        <v>62</v>
      </c>
      <c r="F15" s="23">
        <v>-593806</v>
      </c>
      <c r="G15" s="26">
        <f>D15+E15+F15-E14-F14</f>
        <v>-12723</v>
      </c>
      <c r="H15" s="132">
        <v>300</v>
      </c>
      <c r="I15" s="63">
        <v>-23500</v>
      </c>
      <c r="J15" s="63">
        <v>-400</v>
      </c>
      <c r="K15" s="170">
        <f t="shared" si="7"/>
        <v>-23600</v>
      </c>
      <c r="L15" s="172">
        <v>23</v>
      </c>
      <c r="M15" s="153"/>
      <c r="N15" s="149">
        <f>L15+K15+G15+M15</f>
        <v>-36300</v>
      </c>
      <c r="O15" s="67">
        <f t="shared" si="2"/>
        <v>3546851.9555555554</v>
      </c>
      <c r="P15" s="7">
        <f t="shared" si="4"/>
        <v>31921667.599999998</v>
      </c>
      <c r="Q15" s="164">
        <f>Q14+N15+1-3</f>
        <v>4109065.45</v>
      </c>
      <c r="R15" s="29">
        <f t="shared" si="3"/>
        <v>2628.8770469059427</v>
      </c>
      <c r="S15" s="5">
        <f>SUM($Q$7:$Q15)/T15</f>
        <v>4147631.8944444442</v>
      </c>
      <c r="T15" s="17">
        <v>9</v>
      </c>
      <c r="U15" s="4"/>
      <c r="V15" s="4"/>
      <c r="W15" s="105">
        <v>-2503248</v>
      </c>
      <c r="X15" s="167"/>
      <c r="Y15" s="156">
        <f>Y14-K15-L15</f>
        <v>-2503248</v>
      </c>
      <c r="Z15" s="217"/>
      <c r="AA15" s="92"/>
      <c r="AB15" s="92"/>
    </row>
    <row r="16" spans="2:255" s="69" customFormat="1">
      <c r="B16" s="116">
        <v>44680</v>
      </c>
      <c r="C16" s="14"/>
      <c r="D16" s="129"/>
      <c r="E16" s="87">
        <v>0</v>
      </c>
      <c r="F16" s="23">
        <v>-676416</v>
      </c>
      <c r="G16" s="26">
        <f>D16+E16+F16-E15-F15</f>
        <v>-82672</v>
      </c>
      <c r="H16" s="132">
        <v>300</v>
      </c>
      <c r="I16" s="63">
        <v>-3700</v>
      </c>
      <c r="J16" s="63">
        <v>-400</v>
      </c>
      <c r="K16" s="170">
        <f t="shared" si="7"/>
        <v>-3800</v>
      </c>
      <c r="L16" s="172">
        <v>18</v>
      </c>
      <c r="M16" s="153"/>
      <c r="N16" s="152">
        <f>L16+K16+G16+M16</f>
        <v>-86454</v>
      </c>
      <c r="O16" s="67">
        <f t="shared" si="2"/>
        <v>3578650.9049999998</v>
      </c>
      <c r="P16" s="70">
        <f t="shared" si="4"/>
        <v>35786509.049999997</v>
      </c>
      <c r="Q16" s="164">
        <f>Q15+N16+2</f>
        <v>4022613.45</v>
      </c>
      <c r="R16" s="71">
        <f t="shared" si="3"/>
        <v>2620.9530525061482</v>
      </c>
      <c r="S16" s="72">
        <f>SUM($Q$7:$Q16)/T16</f>
        <v>4135130.05</v>
      </c>
      <c r="T16" s="73">
        <v>10</v>
      </c>
      <c r="U16" s="218"/>
      <c r="V16" s="133"/>
      <c r="W16" s="105">
        <v>-2499467</v>
      </c>
      <c r="X16" s="167"/>
      <c r="Y16" s="156">
        <f>Y15-K16-L16-1</f>
        <v>-2499467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44681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3604668.2272727271</v>
      </c>
      <c r="P17" s="7">
        <f t="shared" si="4"/>
        <v>39651350.5</v>
      </c>
      <c r="Q17" s="164">
        <f t="shared" si="5"/>
        <v>4022613.45</v>
      </c>
      <c r="R17" s="29">
        <f t="shared" si="3"/>
        <v>2614.4697843608615</v>
      </c>
      <c r="S17" s="5">
        <f>SUM($Q$7:$Q17)/T17</f>
        <v>4124901.2681818185</v>
      </c>
      <c r="T17" s="18">
        <v>11</v>
      </c>
      <c r="U17" s="27"/>
      <c r="V17" s="136"/>
      <c r="W17" s="105">
        <v>-2499467</v>
      </c>
      <c r="X17" s="167"/>
      <c r="Y17" s="156">
        <f t="shared" si="6"/>
        <v>-2499467</v>
      </c>
      <c r="Z17" s="217"/>
      <c r="AA17" s="92"/>
      <c r="AC17" s="92"/>
    </row>
    <row r="18" spans="2:31">
      <c r="B18" s="116">
        <v>44682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3626349.3291666671</v>
      </c>
      <c r="P18" s="7">
        <f t="shared" si="4"/>
        <v>43516191.950000003</v>
      </c>
      <c r="Q18" s="164">
        <f t="shared" si="5"/>
        <v>4022613.45</v>
      </c>
      <c r="R18" s="29">
        <f t="shared" si="3"/>
        <v>2609.0664270804286</v>
      </c>
      <c r="S18" s="5">
        <f>SUM($Q$7:$Q18)/T18-1</f>
        <v>4116376.2833333337</v>
      </c>
      <c r="T18" s="18">
        <v>12</v>
      </c>
      <c r="U18" s="27"/>
      <c r="V18" s="136"/>
      <c r="W18" s="105">
        <v>-2499467</v>
      </c>
      <c r="X18" s="167"/>
      <c r="Y18" s="156">
        <f t="shared" si="6"/>
        <v>-2499467</v>
      </c>
      <c r="Z18" s="217"/>
      <c r="AA18" s="92"/>
    </row>
    <row r="19" spans="2:31">
      <c r="B19" s="116">
        <v>44683</v>
      </c>
      <c r="C19" s="14" t="str">
        <f t="shared" si="0"/>
        <v/>
      </c>
      <c r="D19" s="87"/>
      <c r="E19" s="87">
        <v>0</v>
      </c>
      <c r="F19" s="23">
        <v>-721735</v>
      </c>
      <c r="G19" s="26">
        <f>D19+E19+F19-E16-F16</f>
        <v>-45319</v>
      </c>
      <c r="H19" s="132">
        <v>10300</v>
      </c>
      <c r="I19" s="63">
        <v>41100</v>
      </c>
      <c r="J19" s="63">
        <v>-300</v>
      </c>
      <c r="K19" s="170">
        <f t="shared" si="7"/>
        <v>51100</v>
      </c>
      <c r="L19" s="171">
        <v>33</v>
      </c>
      <c r="M19" s="153"/>
      <c r="N19" s="149">
        <f t="shared" si="8"/>
        <v>5814</v>
      </c>
      <c r="O19" s="67">
        <f t="shared" si="2"/>
        <v>3645142.1076923083</v>
      </c>
      <c r="P19" s="7">
        <f t="shared" si="4"/>
        <v>47386847.400000006</v>
      </c>
      <c r="Q19" s="164">
        <f>Q18+N19</f>
        <v>4028427.45</v>
      </c>
      <c r="R19" s="29">
        <f t="shared" si="3"/>
        <v>2604.7789921776121</v>
      </c>
      <c r="S19" s="5">
        <f>SUM($Q$7:$Q19)/T19</f>
        <v>4109611.9115384622</v>
      </c>
      <c r="T19" s="18">
        <v>13</v>
      </c>
      <c r="U19" s="138">
        <f>B19</f>
        <v>44683</v>
      </c>
      <c r="V19" s="131">
        <v>2354.3000000000002</v>
      </c>
      <c r="W19" s="105">
        <v>-2550600</v>
      </c>
      <c r="X19" s="167">
        <f>AVERAGE(W20:W27)</f>
        <v>-2534119.25</v>
      </c>
      <c r="Y19" s="156">
        <f>Y18-K19-L19</f>
        <v>-2550600</v>
      </c>
      <c r="Z19" s="217">
        <f>AVERAGE(Y20:Y27)</f>
        <v>-2534119.25</v>
      </c>
      <c r="AA19" s="92"/>
      <c r="AD19" s="309"/>
    </row>
    <row r="20" spans="2:31">
      <c r="B20" s="116">
        <v>44684</v>
      </c>
      <c r="C20" s="14"/>
      <c r="D20" s="87"/>
      <c r="E20" s="87">
        <v>0</v>
      </c>
      <c r="F20" s="23">
        <v>-719968</v>
      </c>
      <c r="G20" s="26">
        <f>D20+E20+F20-E19-F19</f>
        <v>1767</v>
      </c>
      <c r="H20" s="132">
        <v>300</v>
      </c>
      <c r="I20" s="63">
        <v>-2100</v>
      </c>
      <c r="J20" s="63">
        <v>-300</v>
      </c>
      <c r="K20" s="170">
        <f t="shared" si="7"/>
        <v>-2100</v>
      </c>
      <c r="L20" s="171">
        <v>27</v>
      </c>
      <c r="M20" s="153"/>
      <c r="N20" s="149">
        <f t="shared" si="8"/>
        <v>-306</v>
      </c>
      <c r="O20" s="67">
        <f t="shared" si="2"/>
        <v>3661228.4178571436</v>
      </c>
      <c r="P20" s="7">
        <f t="shared" si="4"/>
        <v>51257197.850000009</v>
      </c>
      <c r="Q20" s="164">
        <f>Q19+N20+1</f>
        <v>4028122.45</v>
      </c>
      <c r="R20" s="29">
        <f t="shared" si="3"/>
        <v>2601.0909639950605</v>
      </c>
      <c r="S20" s="5">
        <f>SUM($Q$7:$Q20)/T20+2</f>
        <v>4103793.2357142866</v>
      </c>
      <c r="T20" s="18">
        <v>14</v>
      </c>
      <c r="U20" s="138">
        <f>B19+8</f>
        <v>44691</v>
      </c>
      <c r="V20" s="131"/>
      <c r="W20" s="105">
        <v>-2548528</v>
      </c>
      <c r="X20" s="167"/>
      <c r="Y20" s="156">
        <f>Y19-K20-L20-1</f>
        <v>-2548528</v>
      </c>
      <c r="Z20" s="217"/>
      <c r="AA20" s="92"/>
      <c r="AB20" s="92"/>
    </row>
    <row r="21" spans="2:31">
      <c r="B21" s="116">
        <v>44685</v>
      </c>
      <c r="C21" s="14" t="str">
        <f t="shared" si="0"/>
        <v/>
      </c>
      <c r="D21" s="87">
        <f>-721+549</f>
        <v>-172</v>
      </c>
      <c r="E21" s="87">
        <v>0</v>
      </c>
      <c r="F21" s="23">
        <v>-724078</v>
      </c>
      <c r="G21" s="26">
        <f>D21+E21+F21-E20-F20</f>
        <v>-4282</v>
      </c>
      <c r="H21" s="132">
        <v>400</v>
      </c>
      <c r="I21" s="63">
        <v>-5700</v>
      </c>
      <c r="J21" s="63">
        <v>-300</v>
      </c>
      <c r="K21" s="170">
        <f t="shared" si="7"/>
        <v>-5600</v>
      </c>
      <c r="L21" s="171">
        <v>4</v>
      </c>
      <c r="M21" s="153"/>
      <c r="N21" s="149">
        <f>L21+K21+G21+M21</f>
        <v>-9878</v>
      </c>
      <c r="O21" s="67">
        <f t="shared" si="2"/>
        <v>3674511.353333334</v>
      </c>
      <c r="P21" s="7">
        <f t="shared" si="4"/>
        <v>55117670.300000012</v>
      </c>
      <c r="Q21" s="164">
        <f t="shared" ref="Q21:Q26" si="10">Q20+N21</f>
        <v>4018244.45</v>
      </c>
      <c r="R21" s="29">
        <f t="shared" si="3"/>
        <v>2597.4755448791088</v>
      </c>
      <c r="S21" s="5">
        <f>SUM($Q$7:$Q21)/T21+1</f>
        <v>4098089.1166666676</v>
      </c>
      <c r="T21" s="18">
        <v>15</v>
      </c>
      <c r="U21" s="4"/>
      <c r="V21" s="131"/>
      <c r="W21" s="105">
        <v>-2542932</v>
      </c>
      <c r="X21" s="167"/>
      <c r="Y21" s="156">
        <f>Y20-K21-L21</f>
        <v>-2542932</v>
      </c>
      <c r="Z21" s="217"/>
      <c r="AA21" s="92"/>
    </row>
    <row r="22" spans="2:31">
      <c r="B22" s="116">
        <v>44686</v>
      </c>
      <c r="C22" s="14" t="str">
        <f t="shared" si="0"/>
        <v/>
      </c>
      <c r="D22" s="87"/>
      <c r="E22" s="87">
        <v>0</v>
      </c>
      <c r="F22" s="23">
        <v>-723284</v>
      </c>
      <c r="G22" s="26">
        <f>D22+E22+F22-E21-F21</f>
        <v>794</v>
      </c>
      <c r="H22" s="132">
        <v>300</v>
      </c>
      <c r="I22" s="63">
        <v>-20200</v>
      </c>
      <c r="J22" s="63">
        <v>-400</v>
      </c>
      <c r="K22" s="170">
        <f t="shared" si="7"/>
        <v>-20300</v>
      </c>
      <c r="L22" s="171">
        <v>38</v>
      </c>
      <c r="M22" s="153"/>
      <c r="N22" s="149">
        <f>L22+K22+G22+M22</f>
        <v>-19468</v>
      </c>
      <c r="O22" s="67">
        <f t="shared" si="2"/>
        <v>3684917.1718750009</v>
      </c>
      <c r="P22" s="7">
        <f t="shared" si="4"/>
        <v>58958674.750000015</v>
      </c>
      <c r="Q22" s="164">
        <f t="shared" si="10"/>
        <v>3998776.45</v>
      </c>
      <c r="R22" s="29">
        <f t="shared" si="3"/>
        <v>2593.5401322794928</v>
      </c>
      <c r="S22" s="5">
        <f>SUM($Q$7:$Q22)/T22-1</f>
        <v>4091880.1375000011</v>
      </c>
      <c r="T22" s="18">
        <v>16</v>
      </c>
      <c r="U22" s="4"/>
      <c r="V22" s="131"/>
      <c r="W22" s="105">
        <v>-2522670</v>
      </c>
      <c r="X22" s="167"/>
      <c r="Y22" s="156">
        <f>Y21-K22-L22</f>
        <v>-2522670</v>
      </c>
      <c r="Z22" s="217"/>
      <c r="AA22" s="92"/>
    </row>
    <row r="23" spans="2:31">
      <c r="B23" s="116">
        <v>44687</v>
      </c>
      <c r="C23" s="14"/>
      <c r="D23" s="87"/>
      <c r="E23" s="87">
        <v>2</v>
      </c>
      <c r="F23" s="23">
        <v>-713659</v>
      </c>
      <c r="G23" s="26">
        <f>D23+E23+F23-E22-F22</f>
        <v>9627</v>
      </c>
      <c r="H23" s="132">
        <v>300</v>
      </c>
      <c r="I23" s="63">
        <v>4500</v>
      </c>
      <c r="J23" s="63">
        <v>-400</v>
      </c>
      <c r="K23" s="170">
        <f t="shared" si="7"/>
        <v>4400</v>
      </c>
      <c r="L23" s="171">
        <v>-6</v>
      </c>
      <c r="M23" s="153"/>
      <c r="N23" s="149">
        <f>L23+K23+G23+M23</f>
        <v>14021</v>
      </c>
      <c r="O23" s="67">
        <f t="shared" si="2"/>
        <v>3694923.5411764719</v>
      </c>
      <c r="P23" s="7">
        <f t="shared" si="4"/>
        <v>62813700.200000018</v>
      </c>
      <c r="Q23" s="164">
        <f t="shared" si="10"/>
        <v>4012797.45</v>
      </c>
      <c r="R23" s="29">
        <f t="shared" si="3"/>
        <v>2590.5922190771203</v>
      </c>
      <c r="S23" s="5">
        <f>SUM($Q$7:$Q23)/T23</f>
        <v>4087229.1558823544</v>
      </c>
      <c r="T23" s="18">
        <v>17</v>
      </c>
      <c r="U23" s="27"/>
      <c r="V23" s="135"/>
      <c r="W23" s="105">
        <v>-2527064</v>
      </c>
      <c r="X23" s="167"/>
      <c r="Y23" s="156">
        <f>Y22-K23-L23</f>
        <v>-2527064</v>
      </c>
      <c r="Z23" s="217"/>
      <c r="AA23" s="92"/>
    </row>
    <row r="24" spans="2:31">
      <c r="B24" s="116">
        <v>44688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3703818.0916666677</v>
      </c>
      <c r="P24" s="7">
        <f t="shared" si="4"/>
        <v>66668725.650000021</v>
      </c>
      <c r="Q24" s="164">
        <f t="shared" si="10"/>
        <v>4012797.45</v>
      </c>
      <c r="R24" s="29">
        <f t="shared" si="3"/>
        <v>2587.9712883852094</v>
      </c>
      <c r="S24" s="5">
        <f>SUM($Q$7:$Q24)/T24</f>
        <v>4083094.0611111126</v>
      </c>
      <c r="T24" s="18">
        <v>18</v>
      </c>
      <c r="U24" s="4"/>
      <c r="V24" s="135"/>
      <c r="W24" s="105">
        <v>-2527064</v>
      </c>
      <c r="X24" s="167"/>
      <c r="Y24" s="156">
        <f t="shared" si="6"/>
        <v>-2527064</v>
      </c>
      <c r="Z24" s="217"/>
      <c r="AA24" s="92"/>
      <c r="AD24" s="1"/>
      <c r="AE24" s="1"/>
    </row>
    <row r="25" spans="2:31">
      <c r="B25" s="116">
        <v>44689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3711776.3736842116</v>
      </c>
      <c r="P25" s="7">
        <f t="shared" si="4"/>
        <v>70523751.100000024</v>
      </c>
      <c r="Q25" s="164">
        <f t="shared" si="10"/>
        <v>4012797.45</v>
      </c>
      <c r="R25" s="29">
        <f t="shared" si="3"/>
        <v>2585.6256113085246</v>
      </c>
      <c r="S25" s="5">
        <f>SUM($Q$7:$Q25)/T25-1</f>
        <v>4079393.2394736856</v>
      </c>
      <c r="T25" s="18">
        <v>19</v>
      </c>
      <c r="U25" s="4"/>
      <c r="V25" s="131"/>
      <c r="W25" s="105">
        <v>-2527064</v>
      </c>
      <c r="X25" s="167"/>
      <c r="Y25" s="156">
        <f t="shared" si="6"/>
        <v>-2527064</v>
      </c>
      <c r="Z25" s="217"/>
      <c r="AA25" s="92"/>
      <c r="AD25" s="1"/>
      <c r="AE25" s="1"/>
    </row>
    <row r="26" spans="2:31">
      <c r="B26" s="116">
        <v>44690</v>
      </c>
      <c r="C26" s="14"/>
      <c r="D26" s="87"/>
      <c r="E26" s="87">
        <v>0</v>
      </c>
      <c r="F26" s="23">
        <v>-702022</v>
      </c>
      <c r="G26" s="26">
        <f>D26+E26+F26-E23-F23</f>
        <v>11635</v>
      </c>
      <c r="H26" s="132">
        <v>300</v>
      </c>
      <c r="I26" s="63">
        <v>13100</v>
      </c>
      <c r="J26" s="63">
        <v>-200</v>
      </c>
      <c r="K26" s="170">
        <f t="shared" si="7"/>
        <v>13200</v>
      </c>
      <c r="L26" s="171">
        <v>26</v>
      </c>
      <c r="M26" s="153"/>
      <c r="N26" s="149">
        <f t="shared" si="8"/>
        <v>24861</v>
      </c>
      <c r="O26" s="67">
        <f t="shared" si="2"/>
        <v>3720181.8775000013</v>
      </c>
      <c r="P26" s="7">
        <f t="shared" si="4"/>
        <v>74403637.550000027</v>
      </c>
      <c r="Q26" s="164">
        <f t="shared" si="10"/>
        <v>4037658.45</v>
      </c>
      <c r="R26" s="29">
        <f t="shared" si="3"/>
        <v>2584.3029498263327</v>
      </c>
      <c r="S26" s="5">
        <f>SUM($Q$7:$Q26)/T26-1</f>
        <v>4077306.4500000016</v>
      </c>
      <c r="T26" s="18">
        <v>20</v>
      </c>
      <c r="U26" s="138">
        <f>B26</f>
        <v>44690</v>
      </c>
      <c r="V26" s="131">
        <v>2384.8000000000002</v>
      </c>
      <c r="W26" s="105">
        <v>-2540290</v>
      </c>
      <c r="X26" s="167">
        <f>AVERAGE(W26:W34)</f>
        <v>-2531190.6666666665</v>
      </c>
      <c r="Y26" s="156">
        <f>Y25-K26-L26</f>
        <v>-2540290</v>
      </c>
      <c r="Z26" s="217">
        <f>AVERAGE(Y26:Y34)</f>
        <v>-2531190.6666666665</v>
      </c>
      <c r="AC26" s="92"/>
      <c r="AD26" s="1"/>
      <c r="AE26" s="1"/>
    </row>
    <row r="27" spans="2:31">
      <c r="B27" s="116">
        <v>44691</v>
      </c>
      <c r="C27" s="14" t="str">
        <f t="shared" si="0"/>
        <v/>
      </c>
      <c r="D27" s="87"/>
      <c r="E27" s="87">
        <v>0</v>
      </c>
      <c r="F27" s="23">
        <v>-686370</v>
      </c>
      <c r="G27" s="26">
        <f>D27+E27+F27-E26-F26</f>
        <v>15652</v>
      </c>
      <c r="H27" s="132">
        <v>300</v>
      </c>
      <c r="I27" s="63">
        <v>-3000</v>
      </c>
      <c r="J27" s="63">
        <v>-200</v>
      </c>
      <c r="K27" s="170">
        <f t="shared" si="7"/>
        <v>-2900</v>
      </c>
      <c r="L27" s="171">
        <v>-49</v>
      </c>
      <c r="M27" s="153"/>
      <c r="N27" s="149">
        <f>L27+K27+G27+M27</f>
        <v>12703</v>
      </c>
      <c r="O27" s="67">
        <f t="shared" si="2"/>
        <v>3728391.8571428587</v>
      </c>
      <c r="P27" s="7">
        <f t="shared" si="4"/>
        <v>78296229.00000003</v>
      </c>
      <c r="Q27" s="164">
        <f>Q26+N27+2</f>
        <v>4050363.45</v>
      </c>
      <c r="R27" s="29">
        <f t="shared" si="3"/>
        <v>2583.4897208509456</v>
      </c>
      <c r="S27" s="5">
        <f>SUM($Q$7:$Q27)/T27-1</f>
        <v>4076023.402380954</v>
      </c>
      <c r="T27" s="18">
        <v>21</v>
      </c>
      <c r="U27" s="138">
        <f>B28+6</f>
        <v>44698</v>
      </c>
      <c r="V27" s="159"/>
      <c r="W27" s="105">
        <v>-2537342</v>
      </c>
      <c r="X27" s="167"/>
      <c r="Y27" s="156">
        <f>Y26-K27-L27-1</f>
        <v>-2537342</v>
      </c>
      <c r="Z27" s="217"/>
      <c r="AA27" s="92"/>
      <c r="AD27" s="1"/>
      <c r="AE27" s="1"/>
    </row>
    <row r="28" spans="2:31">
      <c r="B28" s="116">
        <v>44692</v>
      </c>
      <c r="C28" s="14" t="str">
        <f t="shared" si="0"/>
        <v/>
      </c>
      <c r="D28" s="87">
        <f>-549+496</f>
        <v>-53</v>
      </c>
      <c r="E28" s="87">
        <v>0</v>
      </c>
      <c r="F28" s="23">
        <v>-681124</v>
      </c>
      <c r="G28" s="26">
        <f>D28+E28+F28-E27-F27</f>
        <v>5193</v>
      </c>
      <c r="H28" s="132">
        <v>300</v>
      </c>
      <c r="I28" s="63">
        <v>8600</v>
      </c>
      <c r="J28" s="63">
        <v>-300</v>
      </c>
      <c r="K28" s="170">
        <f t="shared" si="7"/>
        <v>8600</v>
      </c>
      <c r="L28" s="171">
        <v>-38</v>
      </c>
      <c r="M28" s="153"/>
      <c r="N28" s="149">
        <f>L28+K28+G28+M28</f>
        <v>13755</v>
      </c>
      <c r="O28" s="67">
        <f t="shared" si="2"/>
        <v>3736480.6568181831</v>
      </c>
      <c r="P28" s="7">
        <f t="shared" si="4"/>
        <v>82202574.450000033</v>
      </c>
      <c r="Q28" s="164">
        <f>Q27+N28-1</f>
        <v>4064117.45</v>
      </c>
      <c r="R28" s="29">
        <f t="shared" si="3"/>
        <v>2583.1466782906532</v>
      </c>
      <c r="S28" s="5">
        <f>SUM($Q$7:$Q28)/T28-1</f>
        <v>4075482.1772727291</v>
      </c>
      <c r="T28" s="18">
        <v>22</v>
      </c>
      <c r="U28" s="4"/>
      <c r="V28" s="131"/>
      <c r="W28" s="105">
        <v>-2545904</v>
      </c>
      <c r="X28" s="167"/>
      <c r="Y28" s="156">
        <f>Y27-K28-L28</f>
        <v>-2545904</v>
      </c>
      <c r="Z28" s="217"/>
      <c r="AA28" s="92"/>
      <c r="AD28" s="1"/>
      <c r="AE28" s="1"/>
    </row>
    <row r="29" spans="2:31">
      <c r="B29" s="116">
        <v>44693</v>
      </c>
      <c r="C29" s="14" t="str">
        <f t="shared" si="0"/>
        <v/>
      </c>
      <c r="D29" s="87"/>
      <c r="E29" s="87">
        <v>0</v>
      </c>
      <c r="F29" s="23">
        <v>-659536</v>
      </c>
      <c r="G29" s="26">
        <f>D29+E29+F29-E28-F28</f>
        <v>21588</v>
      </c>
      <c r="H29" s="132">
        <v>300</v>
      </c>
      <c r="I29" s="63">
        <v>7800</v>
      </c>
      <c r="J29" s="63">
        <v>-300</v>
      </c>
      <c r="K29" s="170">
        <f t="shared" si="7"/>
        <v>7800</v>
      </c>
      <c r="L29" s="171">
        <v>-18</v>
      </c>
      <c r="M29" s="153"/>
      <c r="N29" s="149">
        <f>L29+K29+G29+M29</f>
        <v>29370</v>
      </c>
      <c r="O29" s="67">
        <f t="shared" si="2"/>
        <v>3745143.082608697</v>
      </c>
      <c r="P29" s="7">
        <f t="shared" si="4"/>
        <v>86138290.900000036</v>
      </c>
      <c r="Q29" s="164">
        <f>Q28+N29+1</f>
        <v>4093488.45</v>
      </c>
      <c r="R29" s="29">
        <f t="shared" si="3"/>
        <v>2583.6428613552425</v>
      </c>
      <c r="S29" s="5">
        <f>SUM($Q$7:$Q29)/T29-1</f>
        <v>4076265.0152173932</v>
      </c>
      <c r="T29" s="18">
        <v>23</v>
      </c>
      <c r="U29" s="4"/>
      <c r="V29" s="131"/>
      <c r="W29" s="105">
        <v>-2553688</v>
      </c>
      <c r="X29" s="167"/>
      <c r="Y29" s="156">
        <f>Y28-K29-L29-2</f>
        <v>-2553688</v>
      </c>
      <c r="Z29" s="217"/>
      <c r="AA29" s="92"/>
      <c r="AD29" s="1"/>
      <c r="AE29" s="1"/>
    </row>
    <row r="30" spans="2:31">
      <c r="B30" s="116">
        <v>44694</v>
      </c>
      <c r="C30" s="14" t="str">
        <f t="shared" si="0"/>
        <v/>
      </c>
      <c r="D30" s="87"/>
      <c r="E30" s="87">
        <v>0</v>
      </c>
      <c r="F30" s="23">
        <v>-647810</v>
      </c>
      <c r="G30" s="26">
        <f>D30+E30+F30-E29-F29</f>
        <v>11726</v>
      </c>
      <c r="H30" s="132">
        <v>300</v>
      </c>
      <c r="I30" s="25">
        <v>-25600</v>
      </c>
      <c r="J30" s="25">
        <v>-300</v>
      </c>
      <c r="K30" s="170">
        <f t="shared" si="7"/>
        <v>-25600</v>
      </c>
      <c r="L30" s="171">
        <v>-47</v>
      </c>
      <c r="M30" s="153"/>
      <c r="N30" s="149">
        <f>L30+K30+G30+M30</f>
        <v>-13921</v>
      </c>
      <c r="O30" s="67">
        <f t="shared" si="2"/>
        <v>3752503.5979166683</v>
      </c>
      <c r="P30" s="7">
        <f t="shared" si="4"/>
        <v>90060086.350000039</v>
      </c>
      <c r="Q30" s="164">
        <f>Q29+N30</f>
        <v>4079567.45</v>
      </c>
      <c r="R30" s="29">
        <f t="shared" si="3"/>
        <v>2583.7344871079795</v>
      </c>
      <c r="S30" s="5">
        <f>SUM($Q$7:$Q30)/T30+6</f>
        <v>4076409.5750000016</v>
      </c>
      <c r="T30" s="18">
        <v>24</v>
      </c>
      <c r="U30" s="4"/>
      <c r="V30" s="131"/>
      <c r="W30" s="105">
        <v>-2528041</v>
      </c>
      <c r="X30" s="167"/>
      <c r="Y30" s="156">
        <f>Y29-K30-L30</f>
        <v>-2528041</v>
      </c>
      <c r="Z30" s="217"/>
      <c r="AA30" s="92"/>
      <c r="AD30" s="1"/>
      <c r="AE30" s="1"/>
    </row>
    <row r="31" spans="2:31">
      <c r="B31" s="116">
        <v>44695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7"/>
        <v>0</v>
      </c>
      <c r="L31" s="171"/>
      <c r="M31" s="153"/>
      <c r="N31" s="149"/>
      <c r="O31" s="67">
        <f>P31/T31</f>
        <v>3759275.2720000017</v>
      </c>
      <c r="P31" s="7">
        <f t="shared" si="4"/>
        <v>93981881.800000042</v>
      </c>
      <c r="Q31" s="164">
        <f t="shared" ref="Q31:Q39" si="11">Q30+N31</f>
        <v>4079567.45</v>
      </c>
      <c r="R31" s="29">
        <f t="shared" si="3"/>
        <v>2583.8121656567714</v>
      </c>
      <c r="S31" s="5">
        <f>SUM($Q$7:$Q31)/T31+2</f>
        <v>4076532.1300000018</v>
      </c>
      <c r="T31" s="18">
        <v>25</v>
      </c>
      <c r="U31" s="4"/>
      <c r="V31" s="137"/>
      <c r="W31" s="105">
        <v>-2528041</v>
      </c>
      <c r="X31" s="167"/>
      <c r="Y31" s="156">
        <f t="shared" si="6"/>
        <v>-2528041</v>
      </c>
      <c r="Z31" s="217"/>
      <c r="AA31" s="92"/>
      <c r="AB31" s="92"/>
      <c r="AD31" s="1"/>
      <c r="AE31" s="1"/>
    </row>
    <row r="32" spans="2:31">
      <c r="B32" s="116">
        <v>44696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7"/>
        <v>0</v>
      </c>
      <c r="L32" s="171"/>
      <c r="M32" s="153"/>
      <c r="N32" s="149"/>
      <c r="O32" s="67">
        <f t="shared" si="2"/>
        <v>3765526.0480769249</v>
      </c>
      <c r="P32" s="7">
        <f t="shared" si="4"/>
        <v>97903677.250000045</v>
      </c>
      <c r="Q32" s="164">
        <f t="shared" si="11"/>
        <v>4079567.45</v>
      </c>
      <c r="R32" s="29">
        <f t="shared" si="3"/>
        <v>2583.881138605077</v>
      </c>
      <c r="S32" s="5">
        <f>SUM($Q$7:$Q32)/T32-6</f>
        <v>4076640.950000002</v>
      </c>
      <c r="T32" s="18">
        <v>26</v>
      </c>
      <c r="U32" s="27"/>
      <c r="V32" s="137"/>
      <c r="W32" s="105">
        <v>-2528041</v>
      </c>
      <c r="X32" s="167"/>
      <c r="Y32" s="156">
        <f t="shared" si="6"/>
        <v>-2528041</v>
      </c>
      <c r="Z32" s="217"/>
      <c r="AD32" s="1"/>
      <c r="AE32" s="1"/>
    </row>
    <row r="33" spans="2:31">
      <c r="B33" s="116">
        <v>44697</v>
      </c>
      <c r="C33" s="14" t="str">
        <f t="shared" si="0"/>
        <v/>
      </c>
      <c r="D33" s="87"/>
      <c r="E33" s="87">
        <v>5</v>
      </c>
      <c r="F33" s="23">
        <v>-683650</v>
      </c>
      <c r="G33" s="26">
        <f>D33+E33+F33-E30-F30</f>
        <v>-35835</v>
      </c>
      <c r="H33" s="132">
        <v>2800</v>
      </c>
      <c r="I33" s="25">
        <v>-12400</v>
      </c>
      <c r="J33" s="25">
        <v>100</v>
      </c>
      <c r="K33" s="170">
        <f t="shared" si="7"/>
        <v>-9500</v>
      </c>
      <c r="L33" s="171">
        <v>14</v>
      </c>
      <c r="M33" s="153"/>
      <c r="N33" s="149">
        <f t="shared" si="8"/>
        <v>-45321</v>
      </c>
      <c r="O33" s="67">
        <f t="shared" si="2"/>
        <v>3769635.2481481498</v>
      </c>
      <c r="P33" s="7">
        <f t="shared" si="4"/>
        <v>101780151.70000005</v>
      </c>
      <c r="Q33" s="164">
        <f>Q32+N33</f>
        <v>4034246.45</v>
      </c>
      <c r="R33" s="29">
        <f t="shared" si="3"/>
        <v>2582.8889543842465</v>
      </c>
      <c r="S33" s="5">
        <f>SUM($Q$7:$Q33)/T33-1</f>
        <v>4075075.5611111131</v>
      </c>
      <c r="T33" s="18">
        <v>27</v>
      </c>
      <c r="U33" s="138">
        <f>B33</f>
        <v>44697</v>
      </c>
      <c r="V33" s="131">
        <v>2259.3000000000002</v>
      </c>
      <c r="W33" s="105">
        <v>-2518555</v>
      </c>
      <c r="X33" s="167">
        <f>AVERAGE(W33:W41)</f>
        <v>-2488055.4444444445</v>
      </c>
      <c r="Y33" s="156">
        <f>Y32-K33-L33</f>
        <v>-2518555</v>
      </c>
      <c r="Z33" s="217">
        <f>AVERAGE(Y33:Y41)</f>
        <v>-2488055.4444444445</v>
      </c>
      <c r="AD33" s="1"/>
      <c r="AE33" s="1"/>
    </row>
    <row r="34" spans="2:31">
      <c r="B34" s="116">
        <v>44698</v>
      </c>
      <c r="C34" s="14" t="str">
        <f t="shared" si="0"/>
        <v/>
      </c>
      <c r="D34" s="87"/>
      <c r="E34" s="87">
        <v>5</v>
      </c>
      <c r="F34" s="23">
        <v>-693913</v>
      </c>
      <c r="G34" s="26">
        <f>D34+E34+F34-E33-F33</f>
        <v>-10263</v>
      </c>
      <c r="H34" s="132">
        <v>-200</v>
      </c>
      <c r="I34" s="25">
        <v>-17600</v>
      </c>
      <c r="J34" s="25">
        <v>100</v>
      </c>
      <c r="K34" s="170">
        <f t="shared" si="7"/>
        <v>-17700</v>
      </c>
      <c r="L34" s="171">
        <v>-41</v>
      </c>
      <c r="M34" s="153"/>
      <c r="N34" s="149">
        <f>L34+K34+G34+M34</f>
        <v>-28004</v>
      </c>
      <c r="O34" s="67">
        <f t="shared" si="2"/>
        <v>3772450.8267857162</v>
      </c>
      <c r="P34" s="7">
        <f t="shared" si="4"/>
        <v>105628623.15000005</v>
      </c>
      <c r="Q34" s="164">
        <f>Q33+N34+1</f>
        <v>4006243.45</v>
      </c>
      <c r="R34" s="29">
        <f t="shared" si="3"/>
        <v>2581.3314375898685</v>
      </c>
      <c r="S34" s="5">
        <f>SUM($Q$7:$Q34)/T34</f>
        <v>4072618.2357142875</v>
      </c>
      <c r="T34" s="18">
        <v>28</v>
      </c>
      <c r="U34" s="138">
        <f>B33+8</f>
        <v>44705</v>
      </c>
      <c r="V34" s="131"/>
      <c r="W34" s="105">
        <v>-2500814</v>
      </c>
      <c r="X34" s="167"/>
      <c r="Y34" s="156">
        <f>Y33-K34-L34</f>
        <v>-2500814</v>
      </c>
      <c r="Z34" s="217"/>
      <c r="AA34" s="92"/>
      <c r="AD34" s="1"/>
      <c r="AE34" s="1"/>
    </row>
    <row r="35" spans="2:31">
      <c r="B35" s="116">
        <v>44699</v>
      </c>
      <c r="C35" s="14" t="str">
        <f t="shared" si="0"/>
        <v/>
      </c>
      <c r="D35" s="87">
        <f>-496+319</f>
        <v>-177</v>
      </c>
      <c r="E35" s="87">
        <v>0</v>
      </c>
      <c r="F35" s="23">
        <v>-704405</v>
      </c>
      <c r="G35" s="26">
        <f>D35+E35+F35-E34-F34</f>
        <v>-10674</v>
      </c>
      <c r="H35" s="132">
        <v>-16500</v>
      </c>
      <c r="I35" s="25">
        <v>10300</v>
      </c>
      <c r="J35" s="25">
        <v>100</v>
      </c>
      <c r="K35" s="170">
        <f t="shared" si="7"/>
        <v>-6100</v>
      </c>
      <c r="L35" s="171">
        <v>25</v>
      </c>
      <c r="M35" s="153"/>
      <c r="N35" s="149">
        <f t="shared" si="8"/>
        <v>-16749</v>
      </c>
      <c r="O35" s="67">
        <f t="shared" si="2"/>
        <v>3774494.7448275881</v>
      </c>
      <c r="P35" s="7">
        <f t="shared" si="4"/>
        <v>109460347.60000005</v>
      </c>
      <c r="Q35" s="164">
        <f>Q34+N35+2</f>
        <v>3989496.45</v>
      </c>
      <c r="R35" s="29">
        <f t="shared" si="3"/>
        <v>2579.5147220301328</v>
      </c>
      <c r="S35" s="5">
        <f>SUM($Q$7:$Q35)/T35</f>
        <v>4069751.9672413813</v>
      </c>
      <c r="T35" s="18">
        <v>29</v>
      </c>
      <c r="U35" s="4"/>
      <c r="V35" s="131"/>
      <c r="W35" s="105">
        <v>-2494740</v>
      </c>
      <c r="X35" s="167"/>
      <c r="Y35" s="156">
        <f>Y34-K35-L35-1</f>
        <v>-2494740</v>
      </c>
      <c r="Z35" s="217"/>
      <c r="AA35" s="92"/>
      <c r="AD35" s="1"/>
      <c r="AE35" s="1"/>
    </row>
    <row r="36" spans="2:31">
      <c r="B36" s="116">
        <v>44700</v>
      </c>
      <c r="C36" s="14" t="str">
        <f t="shared" si="0"/>
        <v/>
      </c>
      <c r="D36" s="87"/>
      <c r="E36" s="87">
        <v>1</v>
      </c>
      <c r="F36" s="23">
        <v>-696427</v>
      </c>
      <c r="G36" s="26">
        <f>D36+E36+F36-E35-F35</f>
        <v>7979</v>
      </c>
      <c r="H36" s="132">
        <v>-13300</v>
      </c>
      <c r="I36" s="25">
        <v>-800</v>
      </c>
      <c r="J36" s="25">
        <v>100</v>
      </c>
      <c r="K36" s="170">
        <f t="shared" si="7"/>
        <v>-14000</v>
      </c>
      <c r="L36" s="171">
        <v>-28</v>
      </c>
      <c r="M36" s="153"/>
      <c r="N36" s="149">
        <f t="shared" si="8"/>
        <v>-6049</v>
      </c>
      <c r="O36" s="67">
        <f t="shared" si="2"/>
        <v>3776200.6350000021</v>
      </c>
      <c r="P36" s="7">
        <f t="shared" si="4"/>
        <v>113286019.05000006</v>
      </c>
      <c r="Q36" s="164">
        <f>Q35+N36-4</f>
        <v>3983443.45</v>
      </c>
      <c r="R36" s="29">
        <f t="shared" si="3"/>
        <v>2577.6760240515864</v>
      </c>
      <c r="S36" s="5">
        <f>SUM($Q$7:$Q36)/T36-24</f>
        <v>4066851.0166666685</v>
      </c>
      <c r="T36" s="18">
        <v>30</v>
      </c>
      <c r="U36" s="4"/>
      <c r="V36" s="136"/>
      <c r="W36" s="105">
        <v>-2480709</v>
      </c>
      <c r="X36" s="167"/>
      <c r="Y36" s="156">
        <f>Y35-K36-L36+3</f>
        <v>-2480709</v>
      </c>
      <c r="Z36" s="217"/>
      <c r="AD36" s="1"/>
      <c r="AE36" s="1"/>
    </row>
    <row r="37" spans="2:31">
      <c r="B37" s="116">
        <v>44701</v>
      </c>
      <c r="C37" s="14"/>
      <c r="D37" s="87"/>
      <c r="E37" s="87">
        <v>0</v>
      </c>
      <c r="F37" s="23">
        <v>-678938</v>
      </c>
      <c r="G37" s="26">
        <f>D37+E37+F37-E36-F36</f>
        <v>17488</v>
      </c>
      <c r="H37" s="132">
        <v>-500</v>
      </c>
      <c r="I37" s="25">
        <v>-2900</v>
      </c>
      <c r="J37" s="25">
        <v>100</v>
      </c>
      <c r="K37" s="170">
        <f t="shared" si="7"/>
        <v>-3300</v>
      </c>
      <c r="L37" s="171">
        <v>39</v>
      </c>
      <c r="M37" s="153"/>
      <c r="N37" s="149">
        <f t="shared" si="8"/>
        <v>14227</v>
      </c>
      <c r="O37" s="67">
        <f t="shared" si="2"/>
        <v>3778255.3387096794</v>
      </c>
      <c r="P37" s="7">
        <f t="shared" si="4"/>
        <v>117125915.50000006</v>
      </c>
      <c r="Q37" s="164">
        <f>Q36+N37-2</f>
        <v>3997668.45</v>
      </c>
      <c r="R37" s="29">
        <f t="shared" si="3"/>
        <v>2576.2768721789644</v>
      </c>
      <c r="S37" s="5">
        <f>SUM($Q$7:$Q37)/T37+1</f>
        <v>4064643.5467741955</v>
      </c>
      <c r="T37" s="18">
        <v>31</v>
      </c>
      <c r="U37" s="27"/>
      <c r="V37" s="137"/>
      <c r="W37" s="105">
        <v>-2477446</v>
      </c>
      <c r="X37" s="167"/>
      <c r="Y37" s="156">
        <f>Y36-K37-L37+2</f>
        <v>-2477446</v>
      </c>
      <c r="Z37" s="217"/>
      <c r="AA37" s="92"/>
      <c r="AD37" s="1"/>
      <c r="AE37" s="1"/>
    </row>
    <row r="38" spans="2:31">
      <c r="B38" s="116">
        <v>44702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7"/>
        <v>0</v>
      </c>
      <c r="L38" s="171"/>
      <c r="M38" s="153"/>
      <c r="N38" s="149"/>
      <c r="O38" s="67">
        <f t="shared" si="2"/>
        <v>3780181.623437502</v>
      </c>
      <c r="P38" s="7">
        <f t="shared" si="4"/>
        <v>120965811.95000006</v>
      </c>
      <c r="Q38" s="164">
        <f t="shared" si="11"/>
        <v>3997668.45</v>
      </c>
      <c r="R38" s="29">
        <f t="shared" si="3"/>
        <v>2574.9496781748358</v>
      </c>
      <c r="S38" s="5">
        <f>SUM($Q$7:$Q38)/T38</f>
        <v>4062549.606250002</v>
      </c>
      <c r="T38" s="18">
        <v>32</v>
      </c>
      <c r="U38" s="27"/>
      <c r="V38" s="137"/>
      <c r="W38" s="105">
        <v>-2477446</v>
      </c>
      <c r="X38" s="167"/>
      <c r="Y38" s="156">
        <f t="shared" si="6"/>
        <v>-2477446</v>
      </c>
      <c r="Z38" s="217"/>
      <c r="AD38" s="1"/>
      <c r="AE38" s="1"/>
    </row>
    <row r="39" spans="2:31">
      <c r="B39" s="116">
        <v>44703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7"/>
        <v>0</v>
      </c>
      <c r="L39" s="171"/>
      <c r="M39" s="153"/>
      <c r="N39" s="149"/>
      <c r="O39" s="67">
        <f t="shared" si="2"/>
        <v>3781991.1636363654</v>
      </c>
      <c r="P39" s="7">
        <f t="shared" si="4"/>
        <v>124805708.40000007</v>
      </c>
      <c r="Q39" s="164">
        <f t="shared" si="11"/>
        <v>3997668.45</v>
      </c>
      <c r="R39" s="29">
        <f t="shared" si="3"/>
        <v>2573.704783235341</v>
      </c>
      <c r="S39" s="5">
        <f>SUM($Q$7:$Q39)/T39+2</f>
        <v>4060585.5106060626</v>
      </c>
      <c r="T39" s="18">
        <v>33</v>
      </c>
      <c r="U39" s="27"/>
      <c r="V39" s="137"/>
      <c r="W39" s="105">
        <v>-2477446</v>
      </c>
      <c r="X39" s="167"/>
      <c r="Y39" s="156">
        <f t="shared" si="6"/>
        <v>-2477446</v>
      </c>
      <c r="Z39" s="217"/>
      <c r="AD39" s="1"/>
      <c r="AE39" s="1"/>
    </row>
    <row r="40" spans="2:31">
      <c r="B40" s="116">
        <v>44704</v>
      </c>
      <c r="C40" s="14"/>
      <c r="D40" s="87"/>
      <c r="E40" s="87">
        <v>0</v>
      </c>
      <c r="F40" s="23">
        <v>-677726</v>
      </c>
      <c r="G40" s="26">
        <f>D40+E40+F40-E37-F37</f>
        <v>1212</v>
      </c>
      <c r="H40" s="132">
        <v>-1200</v>
      </c>
      <c r="I40" s="25">
        <v>3500</v>
      </c>
      <c r="J40" s="25">
        <v>-800</v>
      </c>
      <c r="K40" s="170">
        <f t="shared" si="7"/>
        <v>1500</v>
      </c>
      <c r="L40" s="171">
        <v>38</v>
      </c>
      <c r="M40" s="153"/>
      <c r="N40" s="149">
        <f t="shared" si="8"/>
        <v>2750</v>
      </c>
      <c r="O40" s="67">
        <f t="shared" si="2"/>
        <v>3783775.1132352962</v>
      </c>
      <c r="P40" s="7">
        <f t="shared" si="4"/>
        <v>128648353.85000007</v>
      </c>
      <c r="Q40" s="164">
        <f>Q39+N40-1</f>
        <v>4000417.45</v>
      </c>
      <c r="R40" s="29">
        <f t="shared" si="3"/>
        <v>2572.5825371981323</v>
      </c>
      <c r="S40" s="5">
        <f>SUM($Q$7:$Q40)/T40+1</f>
        <v>4058814.9205882372</v>
      </c>
      <c r="T40" s="18">
        <v>34</v>
      </c>
      <c r="U40" s="138">
        <f>B40</f>
        <v>44704</v>
      </c>
      <c r="V40" s="131">
        <v>2425.1</v>
      </c>
      <c r="W40" s="105">
        <v>-2478983</v>
      </c>
      <c r="X40" s="167">
        <f>AVERAGE(W40:W48)</f>
        <v>-2493970.222222222</v>
      </c>
      <c r="Y40" s="156">
        <f>Y39-K40-L40+1</f>
        <v>-2478983</v>
      </c>
      <c r="Z40" s="217">
        <f>AVERAGE(Y40:Y48)</f>
        <v>-2493971.5555555555</v>
      </c>
      <c r="AD40" s="1"/>
      <c r="AE40" s="1"/>
    </row>
    <row r="41" spans="2:31">
      <c r="B41" s="116">
        <v>44705</v>
      </c>
      <c r="C41" s="14" t="str">
        <f t="shared" si="0"/>
        <v/>
      </c>
      <c r="D41" s="87"/>
      <c r="E41" s="87">
        <v>0</v>
      </c>
      <c r="F41" s="23">
        <v>-684230</v>
      </c>
      <c r="G41" s="26">
        <f>D41+E41+F41-E40-F40</f>
        <v>-6504</v>
      </c>
      <c r="H41" s="132">
        <v>-200</v>
      </c>
      <c r="I41" s="25">
        <v>8400</v>
      </c>
      <c r="J41" s="25">
        <v>-800</v>
      </c>
      <c r="K41" s="170">
        <f t="shared" si="7"/>
        <v>7400</v>
      </c>
      <c r="L41" s="171">
        <v>-22</v>
      </c>
      <c r="M41" s="153"/>
      <c r="N41" s="149">
        <f t="shared" si="8"/>
        <v>874</v>
      </c>
      <c r="O41" s="67">
        <f t="shared" si="2"/>
        <v>3785482.0657142876</v>
      </c>
      <c r="P41" s="7">
        <f t="shared" si="4"/>
        <v>132491872.30000007</v>
      </c>
      <c r="Q41" s="164">
        <f>Q40+N41-1</f>
        <v>4001290.45</v>
      </c>
      <c r="R41" s="29">
        <f t="shared" si="3"/>
        <v>2571.5408265453593</v>
      </c>
      <c r="S41" s="5">
        <f>SUM($Q$7:$Q41)/T41+1</f>
        <v>4057171.3928571446</v>
      </c>
      <c r="T41" s="18">
        <v>35</v>
      </c>
      <c r="U41" s="138">
        <f>B40+8</f>
        <v>44712</v>
      </c>
      <c r="V41" s="137"/>
      <c r="W41" s="105">
        <v>-2486360</v>
      </c>
      <c r="X41" s="167"/>
      <c r="Y41" s="156">
        <f>Y40-K41-L41+1</f>
        <v>-2486360</v>
      </c>
      <c r="Z41" s="217"/>
      <c r="AD41" s="1"/>
      <c r="AE41" s="1"/>
    </row>
    <row r="42" spans="2:31">
      <c r="B42" s="116">
        <v>44706</v>
      </c>
      <c r="C42" s="14" t="str">
        <f t="shared" ref="C42:C58" si="12">IF(OR(WEEKDAY(B42)=1,WEEKDAY(B42)=7),"F","")</f>
        <v/>
      </c>
      <c r="D42" s="87">
        <f>-319+661</f>
        <v>342</v>
      </c>
      <c r="E42" s="87">
        <v>8</v>
      </c>
      <c r="F42" s="23">
        <v>-688725</v>
      </c>
      <c r="G42" s="26">
        <f>D42+E42+F42-E41-F41</f>
        <v>-4145</v>
      </c>
      <c r="H42" s="132">
        <v>300</v>
      </c>
      <c r="I42" s="25">
        <v>8400</v>
      </c>
      <c r="J42" s="25">
        <v>-800</v>
      </c>
      <c r="K42" s="170">
        <f t="shared" si="7"/>
        <v>7900</v>
      </c>
      <c r="L42" s="171">
        <v>24</v>
      </c>
      <c r="M42" s="153"/>
      <c r="N42" s="149">
        <f t="shared" ref="N42:N58" si="13">L42+K42+G42+M42</f>
        <v>3779</v>
      </c>
      <c r="O42" s="67">
        <f t="shared" ref="O42:O58" si="14">P42/T42</f>
        <v>3787199.1597222239</v>
      </c>
      <c r="P42" s="7">
        <f t="shared" si="4"/>
        <v>136339169.75000006</v>
      </c>
      <c r="Q42" s="164">
        <f t="shared" ref="Q42:Q53" si="15">Q41+N42</f>
        <v>4005069.45</v>
      </c>
      <c r="R42" s="29">
        <f t="shared" si="3"/>
        <v>2570.6235228332312</v>
      </c>
      <c r="S42" s="5">
        <f>SUM($Q$7:$Q42)/T42+1</f>
        <v>4055724.1444444456</v>
      </c>
      <c r="T42" s="18">
        <v>36</v>
      </c>
      <c r="U42" s="138"/>
      <c r="V42" s="137"/>
      <c r="W42" s="105">
        <v>-2494283</v>
      </c>
      <c r="X42" s="167"/>
      <c r="Y42" s="156">
        <f t="shared" ref="Y42:Y55" si="16">Y41-K42-L42+1</f>
        <v>-2494283</v>
      </c>
      <c r="Z42" s="217"/>
      <c r="AD42" s="1"/>
      <c r="AE42" s="1"/>
    </row>
    <row r="43" spans="2:31">
      <c r="B43" s="116">
        <v>44707</v>
      </c>
      <c r="C43" s="14" t="str">
        <f t="shared" si="12"/>
        <v/>
      </c>
      <c r="D43" s="87">
        <f>-23+44</f>
        <v>21</v>
      </c>
      <c r="E43" s="87">
        <v>0</v>
      </c>
      <c r="F43" s="23">
        <v>-695266</v>
      </c>
      <c r="G43" s="26">
        <f>D43+E43+F43-E42-F42</f>
        <v>-6528</v>
      </c>
      <c r="H43" s="132">
        <v>300</v>
      </c>
      <c r="I43" s="25">
        <v>200</v>
      </c>
      <c r="J43" s="25">
        <v>-800</v>
      </c>
      <c r="K43" s="170">
        <f t="shared" si="7"/>
        <v>-300</v>
      </c>
      <c r="L43" s="171">
        <v>-27</v>
      </c>
      <c r="M43" s="153"/>
      <c r="N43" s="149">
        <f t="shared" si="13"/>
        <v>-6855</v>
      </c>
      <c r="O43" s="67">
        <f t="shared" si="14"/>
        <v>3788638.1675675688</v>
      </c>
      <c r="P43" s="7">
        <f t="shared" si="4"/>
        <v>140179612.20000005</v>
      </c>
      <c r="Q43" s="164">
        <f t="shared" si="15"/>
        <v>3998214.45</v>
      </c>
      <c r="R43" s="29">
        <f t="shared" si="3"/>
        <v>2569.5781605135298</v>
      </c>
      <c r="S43" s="5">
        <f>SUM($Q$7:$Q43)/T43-94</f>
        <v>4054074.8554054066</v>
      </c>
      <c r="T43" s="18">
        <v>37</v>
      </c>
      <c r="U43" s="138"/>
      <c r="V43" s="137"/>
      <c r="W43" s="105">
        <v>-2493958</v>
      </c>
      <c r="X43" s="167"/>
      <c r="Y43" s="156">
        <f>Y42-K43-L43-2</f>
        <v>-2493958</v>
      </c>
      <c r="Z43" s="217"/>
      <c r="AD43" s="1"/>
      <c r="AE43" s="1"/>
    </row>
    <row r="44" spans="2:31">
      <c r="B44" s="116">
        <v>44708</v>
      </c>
      <c r="C44" s="14" t="str">
        <f t="shared" si="12"/>
        <v/>
      </c>
      <c r="D44" s="87"/>
      <c r="E44" s="87">
        <v>0</v>
      </c>
      <c r="F44" s="23">
        <v>-703178</v>
      </c>
      <c r="G44" s="26">
        <f>D44+E44+F44-E43-F43</f>
        <v>-7912</v>
      </c>
      <c r="H44" s="132">
        <v>300</v>
      </c>
      <c r="I44" s="25">
        <v>-2500</v>
      </c>
      <c r="J44" s="25">
        <v>-800</v>
      </c>
      <c r="K44" s="170">
        <f t="shared" si="7"/>
        <v>-3000</v>
      </c>
      <c r="L44" s="171">
        <v>-28</v>
      </c>
      <c r="M44" s="153"/>
      <c r="N44" s="149">
        <f t="shared" si="13"/>
        <v>-10940</v>
      </c>
      <c r="O44" s="67">
        <f t="shared" si="14"/>
        <v>3789713.5434210538</v>
      </c>
      <c r="P44" s="7">
        <f t="shared" si="4"/>
        <v>144009114.65000004</v>
      </c>
      <c r="Q44" s="164">
        <f t="shared" si="15"/>
        <v>3987274.45</v>
      </c>
      <c r="R44" s="29">
        <f t="shared" si="3"/>
        <v>2568.5225999009899</v>
      </c>
      <c r="S44" s="5">
        <f>SUM($Q$7:$Q44)/T44+1</f>
        <v>4052409.4763157903</v>
      </c>
      <c r="T44" s="18">
        <v>38</v>
      </c>
      <c r="U44" s="138"/>
      <c r="V44" s="137"/>
      <c r="W44" s="105">
        <v>-2490928</v>
      </c>
      <c r="X44" s="167"/>
      <c r="Y44" s="156">
        <f>Y43-K44-L44</f>
        <v>-2490930</v>
      </c>
      <c r="Z44" s="217"/>
      <c r="AD44" s="1"/>
      <c r="AE44" s="1"/>
    </row>
    <row r="45" spans="2:31">
      <c r="B45" s="116">
        <v>44709</v>
      </c>
      <c r="C45" s="14" t="str">
        <f t="shared" si="12"/>
        <v>F</v>
      </c>
      <c r="D45" s="87"/>
      <c r="E45" s="87"/>
      <c r="F45" s="23"/>
      <c r="G45" s="26"/>
      <c r="H45" s="132"/>
      <c r="I45" s="25"/>
      <c r="J45" s="25"/>
      <c r="K45" s="170">
        <f t="shared" si="7"/>
        <v>0</v>
      </c>
      <c r="L45" s="171"/>
      <c r="M45" s="153"/>
      <c r="N45" s="149">
        <f t="shared" si="13"/>
        <v>0</v>
      </c>
      <c r="O45" s="67">
        <f t="shared" si="14"/>
        <v>3790733.7717948724</v>
      </c>
      <c r="P45" s="7">
        <f t="shared" si="4"/>
        <v>147838617.10000002</v>
      </c>
      <c r="Q45" s="164">
        <f t="shared" si="15"/>
        <v>3987274.45</v>
      </c>
      <c r="R45" s="29">
        <f t="shared" si="3"/>
        <v>2567.4640449996978</v>
      </c>
      <c r="S45" s="5">
        <f>SUM($Q$7:$Q45)/T45+1</f>
        <v>4050739.3730769232</v>
      </c>
      <c r="T45" s="18">
        <v>39</v>
      </c>
      <c r="U45" s="138"/>
      <c r="V45" s="137"/>
      <c r="W45" s="105">
        <v>-2490928</v>
      </c>
      <c r="X45" s="167"/>
      <c r="Y45" s="156">
        <f>Y44-K45-L45</f>
        <v>-2490930</v>
      </c>
      <c r="Z45" s="217"/>
      <c r="AD45" s="1"/>
      <c r="AE45" s="1"/>
    </row>
    <row r="46" spans="2:31">
      <c r="B46" s="116">
        <v>44710</v>
      </c>
      <c r="C46" s="14" t="str">
        <f t="shared" si="12"/>
        <v>F</v>
      </c>
      <c r="D46" s="87"/>
      <c r="E46" s="87"/>
      <c r="F46" s="23"/>
      <c r="G46" s="26"/>
      <c r="H46" s="132"/>
      <c r="I46" s="25"/>
      <c r="J46" s="25"/>
      <c r="K46" s="170">
        <f t="shared" si="7"/>
        <v>0</v>
      </c>
      <c r="L46" s="171"/>
      <c r="M46" s="153"/>
      <c r="N46" s="149">
        <f t="shared" si="13"/>
        <v>0</v>
      </c>
      <c r="O46" s="67">
        <f t="shared" si="14"/>
        <v>3791702.9887500005</v>
      </c>
      <c r="P46" s="7">
        <f t="shared" si="4"/>
        <v>151668119.55000001</v>
      </c>
      <c r="Q46" s="164">
        <f t="shared" si="15"/>
        <v>3987274.45</v>
      </c>
      <c r="R46" s="29">
        <f t="shared" si="3"/>
        <v>2566.4584178434702</v>
      </c>
      <c r="S46" s="5">
        <f>SUM($Q$7:$Q46)/T46+1</f>
        <v>4049152.7749999999</v>
      </c>
      <c r="T46" s="18">
        <v>40</v>
      </c>
      <c r="U46" s="138"/>
      <c r="V46" s="137"/>
      <c r="W46" s="105">
        <v>-2490928</v>
      </c>
      <c r="X46" s="167"/>
      <c r="Y46" s="156">
        <f>Y45-K46-L46</f>
        <v>-2490930</v>
      </c>
      <c r="Z46" s="217"/>
      <c r="AD46" s="1"/>
      <c r="AE46" s="1"/>
    </row>
    <row r="47" spans="2:31">
      <c r="B47" s="116">
        <v>44711</v>
      </c>
      <c r="C47" s="14" t="str">
        <f t="shared" si="12"/>
        <v/>
      </c>
      <c r="D47" s="87"/>
      <c r="E47" s="87">
        <v>0</v>
      </c>
      <c r="F47" s="23">
        <v>-707994</v>
      </c>
      <c r="G47" s="26">
        <f>D47+E47+F47-E44-F44</f>
        <v>-4816</v>
      </c>
      <c r="H47" s="132">
        <v>300</v>
      </c>
      <c r="I47" s="25">
        <v>18000</v>
      </c>
      <c r="J47" s="25">
        <v>-700</v>
      </c>
      <c r="K47" s="170">
        <f t="shared" si="7"/>
        <v>17600</v>
      </c>
      <c r="L47" s="171">
        <v>-30</v>
      </c>
      <c r="M47" s="153"/>
      <c r="N47" s="149">
        <f t="shared" si="13"/>
        <v>12754</v>
      </c>
      <c r="O47" s="67">
        <f t="shared" si="14"/>
        <v>3792935.9268292682</v>
      </c>
      <c r="P47" s="7">
        <f t="shared" si="4"/>
        <v>155510373</v>
      </c>
      <c r="Q47" s="164">
        <f>Q46+N47-3</f>
        <v>4000025.45</v>
      </c>
      <c r="R47" s="29">
        <f t="shared" si="3"/>
        <v>2565.6989655650045</v>
      </c>
      <c r="S47" s="5">
        <f>SUM($Q$7:$Q47)/T47+1</f>
        <v>4047954.5719512193</v>
      </c>
      <c r="T47" s="18">
        <v>41</v>
      </c>
      <c r="U47" s="138">
        <f>B47</f>
        <v>44711</v>
      </c>
      <c r="V47" s="137">
        <v>2385.1</v>
      </c>
      <c r="W47" s="105">
        <v>-2508496</v>
      </c>
      <c r="X47" s="167">
        <f>AVERAGE(W47:W55)</f>
        <v>-2554775.888888889</v>
      </c>
      <c r="Y47" s="156">
        <f t="shared" si="16"/>
        <v>-2508499</v>
      </c>
      <c r="Z47" s="217">
        <f>AVERAGE(Y47:Y55)</f>
        <v>-2554776.5555555555</v>
      </c>
      <c r="AD47" s="1"/>
      <c r="AE47" s="1"/>
    </row>
    <row r="48" spans="2:31">
      <c r="B48" s="116">
        <v>44712</v>
      </c>
      <c r="C48" s="14" t="str">
        <f t="shared" si="12"/>
        <v/>
      </c>
      <c r="D48" s="87"/>
      <c r="E48" s="87">
        <v>40</v>
      </c>
      <c r="F48" s="23">
        <v>-796596</v>
      </c>
      <c r="G48" s="26">
        <f>D48+E48+F48-E47-F47</f>
        <v>-88562</v>
      </c>
      <c r="H48" s="132">
        <v>300</v>
      </c>
      <c r="I48" s="25">
        <v>2800</v>
      </c>
      <c r="J48" s="25">
        <v>-700</v>
      </c>
      <c r="K48" s="170">
        <f t="shared" si="7"/>
        <v>2400</v>
      </c>
      <c r="L48" s="171">
        <v>-27</v>
      </c>
      <c r="M48" s="153"/>
      <c r="N48" s="149">
        <f t="shared" si="13"/>
        <v>-86189</v>
      </c>
      <c r="O48" s="67">
        <f t="shared" si="14"/>
        <v>3792057.9869047618</v>
      </c>
      <c r="P48" s="7">
        <f t="shared" si="4"/>
        <v>159266435.44999999</v>
      </c>
      <c r="Q48" s="164">
        <f>Q47+N48-2</f>
        <v>3913834.45</v>
      </c>
      <c r="R48" s="29">
        <f t="shared" si="3"/>
        <v>2563.6217196484859</v>
      </c>
      <c r="S48" s="5">
        <f>SUM($Q$7:$Q48)/T48-83</f>
        <v>4044677.259523809</v>
      </c>
      <c r="T48" s="18">
        <v>42</v>
      </c>
      <c r="U48" s="138">
        <f>B47+8</f>
        <v>44719</v>
      </c>
      <c r="V48" s="137"/>
      <c r="W48" s="105">
        <v>-2510868</v>
      </c>
      <c r="X48" s="167"/>
      <c r="Y48" s="156">
        <f t="shared" si="16"/>
        <v>-2510871</v>
      </c>
      <c r="Z48" s="217"/>
      <c r="AD48" s="1"/>
      <c r="AE48" s="1"/>
    </row>
    <row r="49" spans="2:31">
      <c r="B49" s="116">
        <v>44713</v>
      </c>
      <c r="C49" s="14" t="str">
        <f t="shared" si="12"/>
        <v/>
      </c>
      <c r="D49" s="87">
        <f>-661+410</f>
        <v>-251</v>
      </c>
      <c r="E49" s="87">
        <v>0</v>
      </c>
      <c r="F49" s="23">
        <v>-704150</v>
      </c>
      <c r="G49" s="26">
        <f>D49+E49+F49-E48-F48</f>
        <v>92155</v>
      </c>
      <c r="H49" s="132">
        <v>10300</v>
      </c>
      <c r="I49" s="25">
        <v>42250</v>
      </c>
      <c r="J49" s="25">
        <v>-700</v>
      </c>
      <c r="K49" s="170">
        <f t="shared" si="7"/>
        <v>51850</v>
      </c>
      <c r="L49" s="171">
        <v>35</v>
      </c>
      <c r="M49" s="153"/>
      <c r="N49" s="149">
        <f t="shared" si="13"/>
        <v>144040</v>
      </c>
      <c r="O49" s="67">
        <f t="shared" si="14"/>
        <v>3794570.6488372087</v>
      </c>
      <c r="P49" s="7">
        <f t="shared" si="4"/>
        <v>163166537.89999998</v>
      </c>
      <c r="Q49" s="164">
        <f t="shared" si="15"/>
        <v>4057874.45</v>
      </c>
      <c r="R49" s="29">
        <f t="shared" si="3"/>
        <v>2563.8162923064124</v>
      </c>
      <c r="S49" s="5">
        <f>SUM($Q$7:$Q49)/T49-81</f>
        <v>4044984.2406976735</v>
      </c>
      <c r="T49" s="18">
        <v>43</v>
      </c>
      <c r="U49" s="138"/>
      <c r="V49" s="137"/>
      <c r="W49" s="105">
        <v>-2562753</v>
      </c>
      <c r="X49" s="167"/>
      <c r="Y49" s="156">
        <f>Y48-K49-L49+3</f>
        <v>-2562753</v>
      </c>
      <c r="Z49" s="217"/>
      <c r="AD49" s="1"/>
      <c r="AE49" s="1"/>
    </row>
    <row r="50" spans="2:31">
      <c r="B50" s="116">
        <v>44714</v>
      </c>
      <c r="C50" s="14" t="str">
        <f t="shared" si="12"/>
        <v/>
      </c>
      <c r="D50" s="87"/>
      <c r="E50" s="87">
        <v>0</v>
      </c>
      <c r="F50" s="23">
        <v>-703405</v>
      </c>
      <c r="G50" s="26">
        <f>D50+E50+F50-E49-F49</f>
        <v>745</v>
      </c>
      <c r="H50" s="132">
        <v>300</v>
      </c>
      <c r="I50" s="25">
        <v>7750</v>
      </c>
      <c r="J50" s="25">
        <v>-700</v>
      </c>
      <c r="K50" s="170">
        <f t="shared" si="7"/>
        <v>7350</v>
      </c>
      <c r="L50" s="171">
        <v>4</v>
      </c>
      <c r="M50" s="153"/>
      <c r="N50" s="149">
        <f t="shared" si="13"/>
        <v>8099</v>
      </c>
      <c r="O50" s="67">
        <f t="shared" si="14"/>
        <v>3797153.1670454536</v>
      </c>
      <c r="P50" s="7">
        <f t="shared" si="4"/>
        <v>167074739.34999996</v>
      </c>
      <c r="Q50" s="164">
        <f t="shared" si="15"/>
        <v>4065973.45</v>
      </c>
      <c r="R50" s="29">
        <f t="shared" si="3"/>
        <v>2564.1187455776221</v>
      </c>
      <c r="S50" s="5">
        <f>SUM($Q$7:$Q50)/T50-79</f>
        <v>4045461.4272727263</v>
      </c>
      <c r="T50" s="18">
        <v>44</v>
      </c>
      <c r="U50" s="138"/>
      <c r="V50" s="137"/>
      <c r="W50" s="105">
        <v>-2570106</v>
      </c>
      <c r="X50" s="167"/>
      <c r="Y50" s="156">
        <f t="shared" si="16"/>
        <v>-2570106</v>
      </c>
      <c r="Z50" s="217"/>
      <c r="AD50" s="1"/>
      <c r="AE50" s="1"/>
    </row>
    <row r="51" spans="2:31">
      <c r="B51" s="116">
        <v>44715</v>
      </c>
      <c r="C51" s="14" t="str">
        <f t="shared" si="12"/>
        <v/>
      </c>
      <c r="D51" s="87"/>
      <c r="E51" s="87">
        <v>0</v>
      </c>
      <c r="F51" s="23">
        <v>-706326</v>
      </c>
      <c r="G51" s="26">
        <f>D51+E51+F51-E50-F50</f>
        <v>-2921</v>
      </c>
      <c r="H51" s="132">
        <v>300</v>
      </c>
      <c r="I51" s="25">
        <v>-2400</v>
      </c>
      <c r="J51" s="25">
        <v>-700</v>
      </c>
      <c r="K51" s="170">
        <f t="shared" si="7"/>
        <v>-2800</v>
      </c>
      <c r="L51" s="171">
        <v>-14</v>
      </c>
      <c r="M51" s="153"/>
      <c r="N51" s="149">
        <f t="shared" si="13"/>
        <v>-5735</v>
      </c>
      <c r="O51" s="67">
        <f t="shared" si="14"/>
        <v>3799493.439999999</v>
      </c>
      <c r="P51" s="7">
        <f t="shared" si="4"/>
        <v>170977204.79999995</v>
      </c>
      <c r="Q51" s="164">
        <f>Q50+N51-1</f>
        <v>4060237.45</v>
      </c>
      <c r="R51" s="29">
        <f t="shared" si="3"/>
        <v>2564.3764595604903</v>
      </c>
      <c r="S51" s="5">
        <f>SUM($Q$7:$Q51)/T51+1</f>
        <v>4045868.0277777766</v>
      </c>
      <c r="T51" s="18">
        <v>45</v>
      </c>
      <c r="U51" s="138"/>
      <c r="V51" s="137"/>
      <c r="W51" s="105">
        <v>-2567291</v>
      </c>
      <c r="X51" s="167"/>
      <c r="Y51" s="156">
        <f t="shared" si="16"/>
        <v>-2567291</v>
      </c>
      <c r="Z51" s="217"/>
      <c r="AD51" s="1"/>
      <c r="AE51" s="1"/>
    </row>
    <row r="52" spans="2:31">
      <c r="B52" s="116">
        <v>44716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>
        <f t="shared" si="7"/>
        <v>0</v>
      </c>
      <c r="L52" s="171"/>
      <c r="M52" s="153"/>
      <c r="N52" s="149">
        <f t="shared" si="13"/>
        <v>0</v>
      </c>
      <c r="O52" s="67">
        <f t="shared" si="14"/>
        <v>3801731.9619565206</v>
      </c>
      <c r="P52" s="7">
        <f t="shared" si="4"/>
        <v>174879670.24999994</v>
      </c>
      <c r="Q52" s="164">
        <f t="shared" si="15"/>
        <v>4060237.45</v>
      </c>
      <c r="R52" s="29">
        <f t="shared" si="3"/>
        <v>2564.5744671176558</v>
      </c>
      <c r="S52" s="5">
        <f>SUM($Q$7:$Q52)/T52+1</f>
        <v>4046180.4282608679</v>
      </c>
      <c r="T52" s="18">
        <v>46</v>
      </c>
      <c r="U52" s="138"/>
      <c r="V52" s="137"/>
      <c r="W52" s="105">
        <v>-2567291</v>
      </c>
      <c r="X52" s="167"/>
      <c r="Y52" s="156">
        <f>Y51-K52-L52</f>
        <v>-2567291</v>
      </c>
      <c r="Z52" s="217"/>
      <c r="AD52" s="1"/>
      <c r="AE52" s="1"/>
    </row>
    <row r="53" spans="2:31">
      <c r="B53" s="116">
        <v>44717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>
        <f t="shared" si="7"/>
        <v>0</v>
      </c>
      <c r="L53" s="171"/>
      <c r="M53" s="153"/>
      <c r="N53" s="149">
        <f t="shared" si="13"/>
        <v>0</v>
      </c>
      <c r="O53" s="67">
        <f t="shared" si="14"/>
        <v>3803875.2276595728</v>
      </c>
      <c r="P53" s="7">
        <f t="shared" si="4"/>
        <v>178782135.69999993</v>
      </c>
      <c r="Q53" s="164">
        <f t="shared" si="15"/>
        <v>4060237.45</v>
      </c>
      <c r="R53" s="29">
        <f t="shared" si="3"/>
        <v>2564.7640488213251</v>
      </c>
      <c r="S53" s="5">
        <f>SUM($Q$7:$Q53)/T53+1</f>
        <v>4046479.5351063814</v>
      </c>
      <c r="T53" s="18">
        <v>47</v>
      </c>
      <c r="U53" s="138"/>
      <c r="V53" s="137"/>
      <c r="W53" s="105">
        <v>-2567291</v>
      </c>
      <c r="X53" s="167"/>
      <c r="Y53" s="156">
        <f>Y52-K53-L53</f>
        <v>-2567291</v>
      </c>
      <c r="Z53" s="217"/>
      <c r="AD53" s="1"/>
      <c r="AE53" s="1"/>
    </row>
    <row r="54" spans="2:31">
      <c r="B54" s="116">
        <v>44718</v>
      </c>
      <c r="C54" s="14" t="str">
        <f t="shared" si="12"/>
        <v/>
      </c>
      <c r="D54" s="87"/>
      <c r="E54" s="87">
        <v>7</v>
      </c>
      <c r="F54" s="23">
        <v>-695787</v>
      </c>
      <c r="G54" s="26">
        <f>D54+E54+F54-E51-F51</f>
        <v>10546</v>
      </c>
      <c r="H54" s="132">
        <v>300</v>
      </c>
      <c r="I54" s="25">
        <v>1800</v>
      </c>
      <c r="J54" s="25">
        <v>-200</v>
      </c>
      <c r="K54" s="170">
        <f t="shared" si="7"/>
        <v>1900</v>
      </c>
      <c r="L54" s="171">
        <v>22</v>
      </c>
      <c r="M54" s="153"/>
      <c r="N54" s="149">
        <f t="shared" si="13"/>
        <v>12468</v>
      </c>
      <c r="O54" s="67">
        <f t="shared" si="14"/>
        <v>3806188.8989583314</v>
      </c>
      <c r="P54" s="7">
        <f t="shared" si="4"/>
        <v>182697067.14999992</v>
      </c>
      <c r="Q54" s="164">
        <f>Q53+N54-2</f>
        <v>4072703.45</v>
      </c>
      <c r="R54" s="29">
        <f t="shared" si="3"/>
        <v>2565.1103411885492</v>
      </c>
      <c r="S54" s="5">
        <f>SUM($Q$7:$Q54)/T54+1</f>
        <v>4047025.8874999979</v>
      </c>
      <c r="T54" s="18">
        <v>48</v>
      </c>
      <c r="U54" s="138"/>
      <c r="V54" s="137"/>
      <c r="W54" s="105">
        <v>-2569213</v>
      </c>
      <c r="X54" s="167"/>
      <c r="Y54" s="156">
        <f>Y53-K54-L54</f>
        <v>-2569213</v>
      </c>
      <c r="Z54" s="217"/>
      <c r="AD54" s="1"/>
      <c r="AE54" s="1"/>
    </row>
    <row r="55" spans="2:31">
      <c r="B55" s="116">
        <v>44719</v>
      </c>
      <c r="C55" s="14" t="str">
        <f t="shared" si="12"/>
        <v/>
      </c>
      <c r="D55" s="87"/>
      <c r="E55" s="87">
        <v>0</v>
      </c>
      <c r="F55" s="23">
        <v>-705068</v>
      </c>
      <c r="G55" s="26">
        <f>D55+E55+F55-E54-F54</f>
        <v>-9288</v>
      </c>
      <c r="H55" s="132">
        <v>300</v>
      </c>
      <c r="I55" s="25">
        <v>400</v>
      </c>
      <c r="J55" s="25">
        <v>-200</v>
      </c>
      <c r="K55" s="170">
        <f t="shared" si="7"/>
        <v>500</v>
      </c>
      <c r="L55" s="171">
        <v>-38</v>
      </c>
      <c r="M55" s="153"/>
      <c r="N55" s="149">
        <f t="shared" si="13"/>
        <v>-8826</v>
      </c>
      <c r="O55" s="67">
        <f t="shared" si="14"/>
        <v>3808227.9918367327</v>
      </c>
      <c r="P55" s="7">
        <f t="shared" si="4"/>
        <v>186603171.5999999</v>
      </c>
      <c r="Q55" s="164">
        <f t="shared" ref="Q55" si="17">Q54+N55-1</f>
        <v>4063876.45</v>
      </c>
      <c r="R55" s="29">
        <f t="shared" si="3"/>
        <v>2565.3283199419247</v>
      </c>
      <c r="S55" s="5">
        <f>SUM($Q$7:$Q55)/T55+1</f>
        <v>4047369.7969387732</v>
      </c>
      <c r="T55" s="18">
        <v>49</v>
      </c>
      <c r="U55" s="138">
        <f>B55</f>
        <v>44719</v>
      </c>
      <c r="V55" s="137">
        <v>2370.1</v>
      </c>
      <c r="W55" s="105">
        <v>-2569674</v>
      </c>
      <c r="X55" s="167">
        <f>AVERAGE(W55:W63)</f>
        <v>-2576496</v>
      </c>
      <c r="Y55" s="156">
        <f t="shared" si="16"/>
        <v>-2569674</v>
      </c>
      <c r="Z55" s="217">
        <f>AVERAGE(Y55:Y63)</f>
        <v>-2576496</v>
      </c>
      <c r="AD55" s="1"/>
      <c r="AE55" s="1"/>
    </row>
    <row r="56" spans="2:31">
      <c r="B56" s="116">
        <v>44720</v>
      </c>
      <c r="C56" s="14" t="str">
        <f t="shared" si="12"/>
        <v/>
      </c>
      <c r="D56" s="87">
        <f>-410+447</f>
        <v>37</v>
      </c>
      <c r="E56" s="87">
        <v>0</v>
      </c>
      <c r="F56" s="23">
        <v>-694830</v>
      </c>
      <c r="G56" s="26">
        <f>D56+E56+F56-E55-F55</f>
        <v>10275</v>
      </c>
      <c r="H56" s="132">
        <v>300</v>
      </c>
      <c r="I56" s="25">
        <v>1800</v>
      </c>
      <c r="J56" s="25">
        <v>-200</v>
      </c>
      <c r="K56" s="170">
        <f t="shared" si="7"/>
        <v>1900</v>
      </c>
      <c r="L56" s="171">
        <v>-1</v>
      </c>
      <c r="M56" s="153"/>
      <c r="N56" s="149">
        <f t="shared" si="13"/>
        <v>12174</v>
      </c>
      <c r="O56" s="67">
        <f t="shared" si="14"/>
        <v>3810428.7809999976</v>
      </c>
      <c r="P56" s="7">
        <f t="shared" si="4"/>
        <v>190521439.04999989</v>
      </c>
      <c r="Q56" s="164">
        <f>Q55+N56-11</f>
        <v>4076039.45</v>
      </c>
      <c r="R56" s="29">
        <f t="shared" si="3"/>
        <v>2565.6917640645979</v>
      </c>
      <c r="S56" s="5">
        <f>SUM($Q$7:$Q56)/T56+1</f>
        <v>4047943.2099999976</v>
      </c>
      <c r="T56" s="18">
        <v>50</v>
      </c>
      <c r="U56" s="138">
        <f>B55+8</f>
        <v>44727</v>
      </c>
      <c r="V56" s="137"/>
      <c r="W56" s="105">
        <v>-2571574</v>
      </c>
      <c r="X56" s="167"/>
      <c r="Y56" s="156">
        <f>Y55-K56-L56-1</f>
        <v>-2571574</v>
      </c>
      <c r="Z56" s="217"/>
      <c r="AD56" s="1"/>
      <c r="AE56" s="1"/>
    </row>
    <row r="57" spans="2:31">
      <c r="B57" s="116">
        <v>44721</v>
      </c>
      <c r="C57" s="14" t="str">
        <f t="shared" si="12"/>
        <v/>
      </c>
      <c r="D57" s="87"/>
      <c r="E57" s="87">
        <v>1</v>
      </c>
      <c r="F57" s="23">
        <v>-708461</v>
      </c>
      <c r="G57" s="26">
        <f>D57+E57+F57-E56-F56</f>
        <v>-13630</v>
      </c>
      <c r="H57" s="132">
        <v>300</v>
      </c>
      <c r="I57" s="25">
        <v>6300</v>
      </c>
      <c r="J57" s="25">
        <v>-200</v>
      </c>
      <c r="K57" s="170">
        <f t="shared" si="7"/>
        <v>6400</v>
      </c>
      <c r="L57" s="171">
        <v>-15</v>
      </c>
      <c r="M57" s="153"/>
      <c r="N57" s="149">
        <f t="shared" si="13"/>
        <v>-7245</v>
      </c>
      <c r="O57" s="67">
        <f t="shared" si="14"/>
        <v>3812401.2058823504</v>
      </c>
      <c r="P57" s="7">
        <f t="shared" si="4"/>
        <v>194432461.49999988</v>
      </c>
      <c r="Q57" s="164">
        <f>Q56+N57</f>
        <v>4068794.45</v>
      </c>
      <c r="R57" s="29">
        <f t="shared" si="3"/>
        <v>2565.9509148967986</v>
      </c>
      <c r="S57" s="5">
        <f>SUM($Q$7:$Q57)/T57+1</f>
        <v>4048352.0774509776</v>
      </c>
      <c r="T57" s="18">
        <v>51</v>
      </c>
      <c r="U57" s="138"/>
      <c r="V57" s="137"/>
      <c r="W57" s="105">
        <v>-2577959</v>
      </c>
      <c r="X57" s="167"/>
      <c r="Y57" s="156">
        <f t="shared" ref="Y57:Y62" si="18">Y56-K57-L57</f>
        <v>-2577959</v>
      </c>
      <c r="Z57" s="217"/>
      <c r="AD57" s="1"/>
      <c r="AE57" s="1"/>
    </row>
    <row r="58" spans="2:31">
      <c r="B58" s="116">
        <v>44722</v>
      </c>
      <c r="C58" s="14" t="str">
        <f t="shared" si="12"/>
        <v/>
      </c>
      <c r="D58" s="87"/>
      <c r="E58" s="87">
        <v>0</v>
      </c>
      <c r="F58" s="23">
        <v>-752306</v>
      </c>
      <c r="G58" s="26">
        <f>D58+E58+F58-E57-F57</f>
        <v>-43846</v>
      </c>
      <c r="H58" s="132">
        <v>300</v>
      </c>
      <c r="I58" s="25">
        <v>1700</v>
      </c>
      <c r="J58" s="25">
        <v>-300</v>
      </c>
      <c r="K58" s="170">
        <f t="shared" si="7"/>
        <v>1700</v>
      </c>
      <c r="L58" s="171">
        <v>31</v>
      </c>
      <c r="M58" s="153"/>
      <c r="N58" s="149">
        <f t="shared" si="13"/>
        <v>-42115</v>
      </c>
      <c r="O58" s="67">
        <f t="shared" si="14"/>
        <v>3813487.8836538438</v>
      </c>
      <c r="P58" s="7">
        <f t="shared" si="4"/>
        <v>198301369.94999987</v>
      </c>
      <c r="Q58" s="164">
        <f>Q57+N58+1</f>
        <v>4026680.45</v>
      </c>
      <c r="R58" s="29">
        <f t="shared" si="3"/>
        <v>2565.6867724408526</v>
      </c>
      <c r="S58" s="5">
        <f>SUM($Q$7:$Q58)/T58+1</f>
        <v>4047935.3346153819</v>
      </c>
      <c r="T58" s="18">
        <v>52</v>
      </c>
      <c r="U58" s="138"/>
      <c r="V58" s="137"/>
      <c r="W58" s="105">
        <v>-2579690</v>
      </c>
      <c r="X58" s="167"/>
      <c r="Y58" s="156">
        <f t="shared" si="18"/>
        <v>-2579690</v>
      </c>
      <c r="Z58" s="217"/>
      <c r="AD58" s="1"/>
      <c r="AE58" s="1"/>
    </row>
    <row r="59" spans="2:31">
      <c r="B59" s="116">
        <v>44723</v>
      </c>
      <c r="C59" s="14" t="str">
        <f t="shared" ref="C59:C62" si="19">IF(OR(WEEKDAY(B59)=1,WEEKDAY(B59)=7),"F","")</f>
        <v>F</v>
      </c>
      <c r="D59" s="87"/>
      <c r="E59" s="87"/>
      <c r="F59" s="23"/>
      <c r="G59" s="26"/>
      <c r="H59" s="132"/>
      <c r="I59" s="25"/>
      <c r="J59" s="25"/>
      <c r="K59" s="170">
        <f t="shared" si="7"/>
        <v>0</v>
      </c>
      <c r="L59" s="171"/>
      <c r="M59" s="153"/>
      <c r="N59" s="149">
        <f t="shared" ref="N59:N62" si="20">L59+K59+G59+M59</f>
        <v>0</v>
      </c>
      <c r="O59" s="67">
        <f t="shared" ref="O59:O62" si="21">P59/T59</f>
        <v>3814533.5547169782</v>
      </c>
      <c r="P59" s="7">
        <f t="shared" si="4"/>
        <v>202170278.39999986</v>
      </c>
      <c r="Q59" s="164">
        <f>Q58+N59</f>
        <v>4026680.45</v>
      </c>
      <c r="R59" s="29">
        <f t="shared" si="3"/>
        <v>2565.4325976247533</v>
      </c>
      <c r="S59" s="5">
        <f>SUM($Q$7:$Q59)/T59+1</f>
        <v>4047534.3179245256</v>
      </c>
      <c r="T59" s="18">
        <v>53</v>
      </c>
      <c r="U59" s="138"/>
      <c r="V59" s="137"/>
      <c r="W59" s="105">
        <v>-2579690</v>
      </c>
      <c r="X59" s="167"/>
      <c r="Y59" s="156">
        <f t="shared" si="18"/>
        <v>-2579690</v>
      </c>
      <c r="Z59" s="217"/>
      <c r="AD59" s="1"/>
      <c r="AE59" s="1"/>
    </row>
    <row r="60" spans="2:31">
      <c r="B60" s="116">
        <v>44724</v>
      </c>
      <c r="C60" s="14" t="str">
        <f t="shared" si="19"/>
        <v>F</v>
      </c>
      <c r="D60" s="87"/>
      <c r="E60" s="87"/>
      <c r="F60" s="23"/>
      <c r="G60" s="26"/>
      <c r="H60" s="132"/>
      <c r="I60" s="25"/>
      <c r="J60" s="25"/>
      <c r="K60" s="170">
        <f t="shared" si="7"/>
        <v>0</v>
      </c>
      <c r="L60" s="171"/>
      <c r="M60" s="153"/>
      <c r="N60" s="149">
        <f t="shared" si="20"/>
        <v>0</v>
      </c>
      <c r="O60" s="67">
        <f t="shared" si="21"/>
        <v>3815540.4972222191</v>
      </c>
      <c r="P60" s="7">
        <f t="shared" si="4"/>
        <v>206039186.84999985</v>
      </c>
      <c r="Q60" s="164">
        <f>Q59+N60</f>
        <v>4026680.45</v>
      </c>
      <c r="R60" s="29">
        <f t="shared" si="3"/>
        <v>2565.1878366907317</v>
      </c>
      <c r="S60" s="5">
        <f>SUM($Q$7:$Q60)/T60+1</f>
        <v>4047148.1537037008</v>
      </c>
      <c r="T60" s="18">
        <v>54</v>
      </c>
      <c r="U60" s="138"/>
      <c r="V60" s="137"/>
      <c r="W60" s="105">
        <v>-2579690</v>
      </c>
      <c r="X60" s="167"/>
      <c r="Y60" s="156">
        <f t="shared" si="18"/>
        <v>-2579690</v>
      </c>
      <c r="Z60" s="217"/>
      <c r="AD60" s="1"/>
      <c r="AE60" s="1"/>
    </row>
    <row r="61" spans="2:31">
      <c r="B61" s="116">
        <v>44725</v>
      </c>
      <c r="C61" s="14" t="str">
        <f t="shared" si="19"/>
        <v/>
      </c>
      <c r="D61" s="87"/>
      <c r="E61" s="87">
        <v>0</v>
      </c>
      <c r="F61" s="23">
        <v>-758551</v>
      </c>
      <c r="G61" s="26">
        <f>D61+E61+F61-E58-F58</f>
        <v>-6245</v>
      </c>
      <c r="H61" s="132">
        <v>300</v>
      </c>
      <c r="I61" s="25">
        <v>-7000</v>
      </c>
      <c r="J61" s="25">
        <v>-200</v>
      </c>
      <c r="K61" s="170">
        <f t="shared" si="7"/>
        <v>-6900</v>
      </c>
      <c r="L61" s="171">
        <v>-13</v>
      </c>
      <c r="M61" s="153"/>
      <c r="N61" s="149">
        <f t="shared" si="20"/>
        <v>-13158</v>
      </c>
      <c r="O61" s="67">
        <f t="shared" si="21"/>
        <v>3816271.5872727241</v>
      </c>
      <c r="P61" s="7">
        <f t="shared" si="4"/>
        <v>209894937.29999983</v>
      </c>
      <c r="Q61" s="164">
        <f>Q60+N61</f>
        <v>4013522.45</v>
      </c>
      <c r="R61" s="29">
        <f t="shared" si="3"/>
        <v>2564.8003419203296</v>
      </c>
      <c r="S61" s="5">
        <f>SUM($Q$7:$Q61)/T61+1</f>
        <v>4046536.7954545422</v>
      </c>
      <c r="T61" s="18">
        <v>55</v>
      </c>
      <c r="U61" s="138"/>
      <c r="V61" s="137"/>
      <c r="W61" s="105">
        <v>-2572777</v>
      </c>
      <c r="X61" s="167"/>
      <c r="Y61" s="156">
        <f t="shared" si="18"/>
        <v>-2572777</v>
      </c>
      <c r="Z61" s="217"/>
      <c r="AD61" s="1"/>
      <c r="AE61" s="1"/>
    </row>
    <row r="62" spans="2:31">
      <c r="B62" s="116">
        <v>44726</v>
      </c>
      <c r="C62" s="14" t="str">
        <f t="shared" si="19"/>
        <v/>
      </c>
      <c r="D62" s="87"/>
      <c r="E62" s="87">
        <v>0</v>
      </c>
      <c r="F62" s="23">
        <v>-752157</v>
      </c>
      <c r="G62" s="26">
        <f>D62+E62+F62-E61-F61</f>
        <v>6394</v>
      </c>
      <c r="H62" s="132">
        <v>300</v>
      </c>
      <c r="I62" s="25">
        <v>8000</v>
      </c>
      <c r="J62" s="25">
        <v>-200</v>
      </c>
      <c r="K62" s="170">
        <f t="shared" si="7"/>
        <v>8100</v>
      </c>
      <c r="L62" s="171">
        <v>37</v>
      </c>
      <c r="M62" s="153"/>
      <c r="N62" s="149">
        <f t="shared" si="20"/>
        <v>14531</v>
      </c>
      <c r="O62" s="67">
        <f t="shared" si="21"/>
        <v>3817236.0312499967</v>
      </c>
      <c r="P62" s="7">
        <f t="shared" si="4"/>
        <v>213765217.74999982</v>
      </c>
      <c r="Q62" s="164">
        <f>Q61+N62-1</f>
        <v>4028052.45</v>
      </c>
      <c r="R62" s="29">
        <f t="shared" si="3"/>
        <v>2564.5188852992183</v>
      </c>
      <c r="S62" s="5">
        <f>SUM($Q$7:$Q62)/T62-113</f>
        <v>4046092.7357142824</v>
      </c>
      <c r="T62" s="18">
        <v>56</v>
      </c>
      <c r="U62" s="138"/>
      <c r="V62" s="137"/>
      <c r="W62" s="105">
        <v>-2580914</v>
      </c>
      <c r="X62" s="167"/>
      <c r="Y62" s="156">
        <f t="shared" si="18"/>
        <v>-2580914</v>
      </c>
      <c r="Z62" s="217"/>
      <c r="AD62" s="1"/>
      <c r="AE62" s="1"/>
    </row>
    <row r="64" spans="2:31" ht="12.75" thickBot="1"/>
    <row r="65" spans="4:7" ht="13.5" thickTop="1" thickBot="1">
      <c r="D65" s="141" t="s">
        <v>58</v>
      </c>
      <c r="E65" s="20"/>
      <c r="F65" s="21"/>
      <c r="G65" s="22"/>
    </row>
    <row r="66" spans="4:7">
      <c r="D66" s="27" t="s">
        <v>59</v>
      </c>
      <c r="E66" s="139"/>
      <c r="F66" s="142"/>
      <c r="G66" s="90">
        <f>'APR 2022 '!Q41</f>
        <v>3980247.45</v>
      </c>
    </row>
    <row r="67" spans="4:7">
      <c r="D67" s="138" t="s">
        <v>4</v>
      </c>
      <c r="E67" s="139"/>
      <c r="F67" s="143"/>
      <c r="G67" s="91">
        <f>'APR 2022 '!E41</f>
        <v>5</v>
      </c>
    </row>
    <row r="68" spans="4:7">
      <c r="D68" s="138" t="s">
        <v>60</v>
      </c>
      <c r="E68" s="144"/>
      <c r="F68" s="143"/>
      <c r="G68" s="91">
        <f>'APR 2022 '!F41</f>
        <v>-724788</v>
      </c>
    </row>
    <row r="69" spans="4:7" ht="12.75" thickBot="1">
      <c r="D69" s="140" t="s">
        <v>46</v>
      </c>
      <c r="E69" s="145"/>
      <c r="F69" s="146"/>
      <c r="G69" s="158">
        <f>'APR 2022 '!Y41</f>
        <v>-2505596</v>
      </c>
    </row>
    <row r="70" spans="4:7" ht="12.75" thickTop="1"/>
    <row r="65513" spans="23:23">
      <c r="W65513" s="105"/>
    </row>
    <row r="65520" spans="23:23">
      <c r="W65520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C3CC-025B-448F-A844-14B2B3230BDF}">
  <sheetPr codeName="Sheet33">
    <pageSetUpPr fitToPage="1"/>
  </sheetPr>
  <dimension ref="B1:IU65506"/>
  <sheetViews>
    <sheetView zoomScale="120" zoomScaleNormal="12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H33" sqref="H33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160858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44727</v>
      </c>
      <c r="C7" s="196" t="str">
        <f t="shared" ref="C7:C48" si="0">IF(OR(WEEKDAY(B7)=1,WEEKDAY(B7)=7),"F","")</f>
        <v/>
      </c>
      <c r="D7" s="197">
        <f>-447+669</f>
        <v>222</v>
      </c>
      <c r="E7" s="197">
        <v>0</v>
      </c>
      <c r="F7" s="198">
        <v>-570622</v>
      </c>
      <c r="G7" s="199">
        <f>D7+E7+F7-G53-G54</f>
        <v>181757</v>
      </c>
      <c r="H7" s="132">
        <v>300</v>
      </c>
      <c r="I7" s="63">
        <v>-33400</v>
      </c>
      <c r="J7" s="63">
        <v>-200</v>
      </c>
      <c r="K7" s="170">
        <f t="shared" ref="K7:K9" si="1">+H7+I7+J7</f>
        <v>-33300</v>
      </c>
      <c r="L7" s="169">
        <v>41</v>
      </c>
      <c r="M7" s="203"/>
      <c r="N7" s="204">
        <f>L7+K7+G7+M7</f>
        <v>148498</v>
      </c>
      <c r="O7" s="205">
        <f t="shared" ref="O7:O48" si="2">P7/T7</f>
        <v>4015692.45</v>
      </c>
      <c r="P7" s="206">
        <f>(+$Q7-$Q$3)</f>
        <v>4015692.45</v>
      </c>
      <c r="Q7" s="207">
        <f>G52+N7</f>
        <v>4176550.45</v>
      </c>
      <c r="R7" s="208">
        <f t="shared" ref="R7:R48" si="3">$S7/$Q$3*100</f>
        <v>2596.420725111589</v>
      </c>
      <c r="S7" s="209">
        <f>$Q7</f>
        <v>4176550.45</v>
      </c>
      <c r="T7" s="210">
        <v>1</v>
      </c>
      <c r="U7" s="211">
        <f>B7</f>
        <v>44727</v>
      </c>
      <c r="V7" s="212">
        <v>2423.6</v>
      </c>
      <c r="W7" s="213">
        <v>-2547655</v>
      </c>
      <c r="X7" s="214">
        <f>AVERAGE(W7:W11)</f>
        <v>-2492621.6</v>
      </c>
      <c r="Y7" s="215">
        <f>G55-K7-L7</f>
        <v>-2547655</v>
      </c>
      <c r="Z7" s="216">
        <f>AVERAGE(Y7:Y13)</f>
        <v>-2478368.7142857141</v>
      </c>
      <c r="AA7" s="92"/>
    </row>
    <row r="8" spans="2:255">
      <c r="B8" s="116">
        <v>44728</v>
      </c>
      <c r="C8" s="14"/>
      <c r="D8" s="87"/>
      <c r="E8" s="128">
        <v>0</v>
      </c>
      <c r="F8" s="162">
        <v>-523464</v>
      </c>
      <c r="G8" s="26">
        <f>D8+E8+F8-E7-F7</f>
        <v>47158</v>
      </c>
      <c r="H8" s="132">
        <v>2800</v>
      </c>
      <c r="I8" s="63">
        <v>-56100</v>
      </c>
      <c r="J8" s="63">
        <v>-200</v>
      </c>
      <c r="K8" s="170">
        <f t="shared" si="1"/>
        <v>-53500</v>
      </c>
      <c r="L8" s="171">
        <v>26</v>
      </c>
      <c r="M8" s="153"/>
      <c r="N8" s="149">
        <f>L8+K8+G8+M8</f>
        <v>-6316</v>
      </c>
      <c r="O8" s="67">
        <f t="shared" si="2"/>
        <v>2004688.7250000001</v>
      </c>
      <c r="P8" s="163">
        <f>(IF($Q8&lt;0,-$Q$3+P6,($Q8-$Q$3)+P6))</f>
        <v>4009377.45</v>
      </c>
      <c r="Q8" s="164">
        <f>Q7+N8+1</f>
        <v>4170235.45</v>
      </c>
      <c r="R8" s="29">
        <f t="shared" si="3"/>
        <v>2594.4578137239055</v>
      </c>
      <c r="S8" s="165">
        <f>SUM($Q$7:$Q8)/T8</f>
        <v>4173392.95</v>
      </c>
      <c r="T8" s="166">
        <v>2</v>
      </c>
      <c r="U8" s="138">
        <f>B7+6</f>
        <v>44733</v>
      </c>
      <c r="V8" s="131"/>
      <c r="W8" s="105">
        <v>-2494182</v>
      </c>
      <c r="X8" s="167"/>
      <c r="Y8" s="156">
        <f>Y7-K8-L8-1</f>
        <v>-2494182</v>
      </c>
      <c r="Z8" s="217"/>
      <c r="AA8" s="92"/>
    </row>
    <row r="9" spans="2:255">
      <c r="B9" s="116">
        <v>44729</v>
      </c>
      <c r="C9" s="14" t="str">
        <f t="shared" si="0"/>
        <v/>
      </c>
      <c r="D9" s="87"/>
      <c r="E9" s="87">
        <v>0</v>
      </c>
      <c r="F9" s="23">
        <v>-534274</v>
      </c>
      <c r="G9" s="26">
        <f>D9+E9+F9-E8-F8</f>
        <v>-10810</v>
      </c>
      <c r="H9" s="132">
        <v>-300</v>
      </c>
      <c r="I9" s="63">
        <v>-19900</v>
      </c>
      <c r="J9" s="63">
        <v>-200</v>
      </c>
      <c r="K9" s="170">
        <f t="shared" si="1"/>
        <v>-20400</v>
      </c>
      <c r="L9" s="171">
        <v>-22</v>
      </c>
      <c r="M9" s="153"/>
      <c r="N9" s="149">
        <f>L9+K9+G9+M9</f>
        <v>-31232</v>
      </c>
      <c r="O9" s="67">
        <f t="shared" si="2"/>
        <v>2664611.6333333333</v>
      </c>
      <c r="P9" s="7">
        <f>(IF($Q9&lt;0,-$Q$3+P7,($Q9-$Q$3)+P7))</f>
        <v>7993834.9000000004</v>
      </c>
      <c r="Q9" s="164">
        <f>Q8+N9-3</f>
        <v>4139000.45</v>
      </c>
      <c r="R9" s="29">
        <f t="shared" si="3"/>
        <v>2587.3315491510111</v>
      </c>
      <c r="S9" s="5">
        <f>SUM($Q$7:$Q9)/T9+1</f>
        <v>4161929.7833333337</v>
      </c>
      <c r="T9" s="17">
        <v>3</v>
      </c>
      <c r="U9" s="4"/>
      <c r="V9" s="131"/>
      <c r="W9" s="105">
        <v>-2473757</v>
      </c>
      <c r="X9" s="167"/>
      <c r="Y9" s="156">
        <f>Y8-K9-L9+3</f>
        <v>-2473757</v>
      </c>
      <c r="Z9" s="217"/>
      <c r="AA9" s="92"/>
    </row>
    <row r="10" spans="2:255">
      <c r="B10" s="116">
        <v>44730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2992994.3375000004</v>
      </c>
      <c r="P10" s="7">
        <f t="shared" ref="P10:P48" si="4">(IF($Q10&lt;0,-$Q$3+P9,($Q10-$Q$3)+P9))</f>
        <v>11971977.350000001</v>
      </c>
      <c r="Q10" s="164">
        <f>Q9+N10</f>
        <v>4139000.45</v>
      </c>
      <c r="R10" s="29">
        <f t="shared" si="3"/>
        <v>2583.7668626987779</v>
      </c>
      <c r="S10" s="5">
        <f>SUM($Q$7:$Q10)/T10-1</f>
        <v>4156195.7</v>
      </c>
      <c r="T10" s="17">
        <v>4</v>
      </c>
      <c r="U10" s="27"/>
      <c r="V10" s="133"/>
      <c r="W10" s="105">
        <v>-2473757</v>
      </c>
      <c r="X10" s="167"/>
      <c r="Y10" s="156">
        <f>Y9-K10-L10</f>
        <v>-2473757</v>
      </c>
      <c r="Z10" s="217"/>
      <c r="AA10" s="92"/>
    </row>
    <row r="11" spans="2:255">
      <c r="B11" s="116">
        <v>44731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3190023.96</v>
      </c>
      <c r="P11" s="7">
        <f t="shared" si="4"/>
        <v>15950119.800000001</v>
      </c>
      <c r="Q11" s="164">
        <f t="shared" ref="Q11:Q18" si="5">Q10+N11</f>
        <v>4139000.45</v>
      </c>
      <c r="R11" s="29">
        <f t="shared" si="3"/>
        <v>2581.6294184933299</v>
      </c>
      <c r="S11" s="5">
        <f>SUM($Q$7:$Q11)/T11</f>
        <v>4152757.45</v>
      </c>
      <c r="T11" s="17">
        <v>5</v>
      </c>
      <c r="U11" s="27"/>
      <c r="V11" s="134"/>
      <c r="W11" s="105">
        <v>-2473757</v>
      </c>
      <c r="X11" s="167"/>
      <c r="Y11" s="156">
        <f t="shared" ref="Y11:Y39" si="6">Y10-K11-L11</f>
        <v>-2473757</v>
      </c>
      <c r="Z11" s="217"/>
      <c r="AA11" s="92"/>
    </row>
    <row r="12" spans="2:255">
      <c r="B12" s="116">
        <v>44732</v>
      </c>
      <c r="C12" s="14" t="str">
        <f t="shared" si="0"/>
        <v/>
      </c>
      <c r="D12" s="87"/>
      <c r="E12" s="161">
        <v>0</v>
      </c>
      <c r="F12" s="23">
        <v>-541235</v>
      </c>
      <c r="G12" s="26">
        <f>D12+E12+F12-E9-F9</f>
        <v>-6961</v>
      </c>
      <c r="H12" s="132">
        <v>-17700</v>
      </c>
      <c r="I12" s="63">
        <v>-12600</v>
      </c>
      <c r="J12" s="63">
        <v>-100</v>
      </c>
      <c r="K12" s="170">
        <f t="shared" ref="K12:K48" si="7">+H12+I12+J12</f>
        <v>-30400</v>
      </c>
      <c r="L12" s="171">
        <v>-28</v>
      </c>
      <c r="M12" s="153"/>
      <c r="N12" s="149">
        <f t="shared" ref="N12:N48" si="8">L12+K12+G12+M12</f>
        <v>-37389</v>
      </c>
      <c r="O12" s="67">
        <f t="shared" si="2"/>
        <v>3315145.5416666665</v>
      </c>
      <c r="P12" s="7">
        <f t="shared" si="4"/>
        <v>19890873.25</v>
      </c>
      <c r="Q12" s="164">
        <f>Q11+N12</f>
        <v>4101611.45</v>
      </c>
      <c r="R12" s="29">
        <f t="shared" si="3"/>
        <v>2576.3295059410575</v>
      </c>
      <c r="S12" s="5">
        <f>SUM($Q$7:$Q12)/T12-1</f>
        <v>4144232.1166666667</v>
      </c>
      <c r="T12" s="17">
        <v>6</v>
      </c>
      <c r="U12" s="138">
        <f>B13</f>
        <v>44733</v>
      </c>
      <c r="V12" s="310">
        <v>2481.1999999999998</v>
      </c>
      <c r="W12" s="105">
        <v>-2443329</v>
      </c>
      <c r="X12" s="167">
        <f>AVERAGE(W12:W20)</f>
        <v>-2440672.6666666665</v>
      </c>
      <c r="Y12" s="156">
        <f>Y11-K12-L12</f>
        <v>-2443329</v>
      </c>
      <c r="Z12" s="217">
        <f>AVERAGE(Y12:Y20)</f>
        <v>-2440672.6666666665</v>
      </c>
      <c r="AA12" s="92"/>
    </row>
    <row r="13" spans="2:255">
      <c r="B13" s="116">
        <v>44733</v>
      </c>
      <c r="C13" s="14"/>
      <c r="D13" s="87"/>
      <c r="E13" s="87">
        <v>5</v>
      </c>
      <c r="F13" s="23">
        <v>-593273</v>
      </c>
      <c r="G13" s="26">
        <f>D13+E13+F13-E12-F12</f>
        <v>-52033</v>
      </c>
      <c r="H13" s="132">
        <v>-14900</v>
      </c>
      <c r="I13" s="63">
        <v>13800</v>
      </c>
      <c r="J13" s="63">
        <v>-100</v>
      </c>
      <c r="K13" s="170">
        <f t="shared" si="7"/>
        <v>-1200</v>
      </c>
      <c r="L13" s="171">
        <v>15</v>
      </c>
      <c r="M13" s="153"/>
      <c r="N13" s="149">
        <f t="shared" si="8"/>
        <v>-53218</v>
      </c>
      <c r="O13" s="67">
        <f t="shared" si="2"/>
        <v>3396915.3857142855</v>
      </c>
      <c r="P13" s="7">
        <f>(IF($Q13&lt;0,-$Q$3+P12,($Q13-$Q$3)+P12))</f>
        <v>23778407.699999999</v>
      </c>
      <c r="Q13" s="164">
        <f>Q12+N13-1</f>
        <v>4048392.45</v>
      </c>
      <c r="R13" s="29">
        <f t="shared" si="3"/>
        <v>2567.818568462335</v>
      </c>
      <c r="S13" s="5">
        <f>SUM($Q$7:$Q13)/T13</f>
        <v>4130541.5928571424</v>
      </c>
      <c r="T13" s="17">
        <v>7</v>
      </c>
      <c r="U13" s="138">
        <f>B14+6</f>
        <v>44740</v>
      </c>
      <c r="V13" s="249"/>
      <c r="W13" s="105">
        <v>-2442144</v>
      </c>
      <c r="X13" s="167"/>
      <c r="Y13" s="156">
        <f t="shared" ref="Y13:Y14" si="9">Y12-K13-L13</f>
        <v>-2442144</v>
      </c>
      <c r="Z13" s="217"/>
      <c r="AA13" s="92"/>
      <c r="AB13" s="92"/>
    </row>
    <row r="14" spans="2:255">
      <c r="B14" s="116">
        <v>44734</v>
      </c>
      <c r="C14" s="14"/>
      <c r="D14" s="87">
        <f>-669+688</f>
        <v>19</v>
      </c>
      <c r="E14" s="87">
        <v>0</v>
      </c>
      <c r="F14" s="23">
        <v>-615961</v>
      </c>
      <c r="G14" s="26">
        <f>D14+E14+F14-E13-F13</f>
        <v>-22674</v>
      </c>
      <c r="H14" s="132">
        <v>-200</v>
      </c>
      <c r="I14" s="63">
        <v>7200</v>
      </c>
      <c r="J14" s="63">
        <v>-100</v>
      </c>
      <c r="K14" s="170">
        <f t="shared" si="7"/>
        <v>6900</v>
      </c>
      <c r="L14" s="171">
        <v>-28</v>
      </c>
      <c r="M14" s="154"/>
      <c r="N14" s="149">
        <f>L14+K14+G14+M14</f>
        <v>-15802</v>
      </c>
      <c r="O14" s="67">
        <f t="shared" si="2"/>
        <v>3456267.6437499998</v>
      </c>
      <c r="P14" s="7">
        <f t="shared" si="4"/>
        <v>27650141.149999999</v>
      </c>
      <c r="Q14" s="164">
        <f>Q13+N14+1</f>
        <v>4032591.45</v>
      </c>
      <c r="R14" s="29">
        <f t="shared" si="3"/>
        <v>2560.2070304243493</v>
      </c>
      <c r="S14" s="5">
        <f>SUM($Q$7:$Q14)/T14</f>
        <v>4118297.8249999997</v>
      </c>
      <c r="T14" s="17">
        <v>8</v>
      </c>
      <c r="U14" s="4"/>
      <c r="V14" s="4"/>
      <c r="W14" s="105">
        <v>-2449016</v>
      </c>
      <c r="X14" s="167"/>
      <c r="Y14" s="156">
        <f t="shared" si="9"/>
        <v>-2449016</v>
      </c>
      <c r="Z14" s="217"/>
      <c r="AA14" s="92"/>
    </row>
    <row r="15" spans="2:255">
      <c r="B15" s="116">
        <v>44735</v>
      </c>
      <c r="C15" s="14" t="str">
        <f t="shared" si="0"/>
        <v/>
      </c>
      <c r="D15" s="87"/>
      <c r="E15" s="87">
        <v>0</v>
      </c>
      <c r="F15" s="23">
        <v>-650635</v>
      </c>
      <c r="G15" s="26">
        <f>D15+E15+F15-E14-F14</f>
        <v>-34674</v>
      </c>
      <c r="H15" s="132">
        <v>-1200</v>
      </c>
      <c r="I15" s="63">
        <v>2500</v>
      </c>
      <c r="J15" s="63">
        <v>-100</v>
      </c>
      <c r="K15" s="170">
        <f t="shared" si="7"/>
        <v>1200</v>
      </c>
      <c r="L15" s="172">
        <v>48</v>
      </c>
      <c r="M15" s="153"/>
      <c r="N15" s="149">
        <f>L15+K15+G15+M15</f>
        <v>-33426</v>
      </c>
      <c r="O15" s="67">
        <f t="shared" si="2"/>
        <v>3498716.2888888884</v>
      </c>
      <c r="P15" s="7">
        <f t="shared" si="4"/>
        <v>31488446.599999998</v>
      </c>
      <c r="Q15" s="164">
        <f>Q14+N15+1-3</f>
        <v>3999163.45</v>
      </c>
      <c r="R15" s="29">
        <f t="shared" si="3"/>
        <v>2551.9773167776684</v>
      </c>
      <c r="S15" s="5">
        <f>SUM($Q$7:$Q15)/T15-1</f>
        <v>4105059.6722222217</v>
      </c>
      <c r="T15" s="17">
        <v>9</v>
      </c>
      <c r="U15" s="4"/>
      <c r="V15" s="4"/>
      <c r="W15" s="105">
        <v>-2450264</v>
      </c>
      <c r="X15" s="167"/>
      <c r="Y15" s="156">
        <f>Y14-K15-L15</f>
        <v>-2450264</v>
      </c>
      <c r="Z15" s="217"/>
      <c r="AA15" s="92"/>
      <c r="AB15" s="92"/>
    </row>
    <row r="16" spans="2:255" s="69" customFormat="1">
      <c r="B16" s="116">
        <v>44736</v>
      </c>
      <c r="C16" s="14"/>
      <c r="D16" s="129"/>
      <c r="E16" s="87">
        <v>0</v>
      </c>
      <c r="F16" s="23">
        <v>-654205</v>
      </c>
      <c r="G16" s="26">
        <f>D16+E16+F16-E15-F15</f>
        <v>-3570</v>
      </c>
      <c r="H16" s="132">
        <v>300</v>
      </c>
      <c r="I16" s="63">
        <v>-9100</v>
      </c>
      <c r="J16" s="63">
        <v>-100</v>
      </c>
      <c r="K16" s="170">
        <f t="shared" si="7"/>
        <v>-8900</v>
      </c>
      <c r="L16" s="172">
        <v>-7</v>
      </c>
      <c r="M16" s="153"/>
      <c r="N16" s="152">
        <f>L16+K16+G16+M16</f>
        <v>-12477</v>
      </c>
      <c r="O16" s="67">
        <f t="shared" si="2"/>
        <v>3531427.7049999996</v>
      </c>
      <c r="P16" s="70">
        <f t="shared" si="4"/>
        <v>35314277.049999997</v>
      </c>
      <c r="Q16" s="164">
        <f>Q15+N16+2</f>
        <v>3986688.45</v>
      </c>
      <c r="R16" s="71">
        <f t="shared" si="3"/>
        <v>2544.6191361324895</v>
      </c>
      <c r="S16" s="72">
        <f>SUM($Q$7:$Q16)/T16</f>
        <v>4093223.45</v>
      </c>
      <c r="T16" s="73">
        <v>10</v>
      </c>
      <c r="U16" s="218"/>
      <c r="V16" s="133"/>
      <c r="W16" s="105">
        <v>-2441358</v>
      </c>
      <c r="X16" s="167"/>
      <c r="Y16" s="156">
        <f>Y15-K16-L16-1</f>
        <v>-2441358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44737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3558191.5909090908</v>
      </c>
      <c r="P17" s="7">
        <f t="shared" si="4"/>
        <v>39140107.5</v>
      </c>
      <c r="Q17" s="164">
        <f t="shared" si="5"/>
        <v>3986688.45</v>
      </c>
      <c r="R17" s="29">
        <f t="shared" si="3"/>
        <v>2538.598297877631</v>
      </c>
      <c r="S17" s="5">
        <f>SUM($Q$7:$Q17)/T17</f>
        <v>4083538.45</v>
      </c>
      <c r="T17" s="18">
        <v>11</v>
      </c>
      <c r="U17" s="27"/>
      <c r="V17" s="136"/>
      <c r="W17" s="105">
        <v>-2441358</v>
      </c>
      <c r="X17" s="167"/>
      <c r="Y17" s="156">
        <f t="shared" si="6"/>
        <v>-2441358</v>
      </c>
      <c r="Z17" s="217"/>
      <c r="AA17" s="92"/>
      <c r="AC17" s="92"/>
    </row>
    <row r="18" spans="2:31">
      <c r="B18" s="116">
        <v>44738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3580494.8291666671</v>
      </c>
      <c r="P18" s="7">
        <f t="shared" si="4"/>
        <v>42965937.950000003</v>
      </c>
      <c r="Q18" s="164">
        <f t="shared" si="5"/>
        <v>3986688.45</v>
      </c>
      <c r="R18" s="29">
        <f t="shared" si="3"/>
        <v>2533.5803109989351</v>
      </c>
      <c r="S18" s="5">
        <f>SUM($Q$7:$Q18)/T18-1</f>
        <v>4075466.6166666672</v>
      </c>
      <c r="T18" s="18">
        <v>12</v>
      </c>
      <c r="U18" s="27"/>
      <c r="V18" s="136"/>
      <c r="W18" s="105">
        <v>-2441358</v>
      </c>
      <c r="X18" s="167"/>
      <c r="Y18" s="156">
        <f t="shared" si="6"/>
        <v>-2441358</v>
      </c>
      <c r="Z18" s="217"/>
      <c r="AA18" s="92"/>
    </row>
    <row r="19" spans="2:31">
      <c r="B19" s="116">
        <v>44739</v>
      </c>
      <c r="C19" s="14" t="str">
        <f t="shared" si="0"/>
        <v/>
      </c>
      <c r="D19" s="87"/>
      <c r="E19" s="87">
        <v>0</v>
      </c>
      <c r="F19" s="23">
        <v>-711711</v>
      </c>
      <c r="G19" s="26">
        <f>D19+E19+F19-E16-F16</f>
        <v>-57506</v>
      </c>
      <c r="H19" s="132">
        <v>300</v>
      </c>
      <c r="I19" s="63">
        <v>-11300</v>
      </c>
      <c r="J19" s="63">
        <v>-600</v>
      </c>
      <c r="K19" s="170">
        <f t="shared" si="7"/>
        <v>-11600</v>
      </c>
      <c r="L19" s="171">
        <v>-32</v>
      </c>
      <c r="M19" s="153"/>
      <c r="N19" s="149">
        <f t="shared" si="8"/>
        <v>-69138</v>
      </c>
      <c r="O19" s="67">
        <f t="shared" si="2"/>
        <v>3594048.4923076928</v>
      </c>
      <c r="P19" s="7">
        <f t="shared" si="4"/>
        <v>46722630.400000006</v>
      </c>
      <c r="Q19" s="164">
        <f>Q18+N19</f>
        <v>3917550.45</v>
      </c>
      <c r="R19" s="29">
        <f t="shared" si="3"/>
        <v>2526.0292570513702</v>
      </c>
      <c r="S19" s="5">
        <f>SUM($Q$7:$Q19)/T19</f>
        <v>4063320.1423076931</v>
      </c>
      <c r="T19" s="18">
        <v>13</v>
      </c>
      <c r="U19" s="138">
        <f>B19</f>
        <v>44739</v>
      </c>
      <c r="V19" s="131">
        <v>2473.3000000000002</v>
      </c>
      <c r="W19" s="105">
        <v>-2429726</v>
      </c>
      <c r="X19" s="167">
        <f>AVERAGE(W20:W27)</f>
        <v>-2443063.25</v>
      </c>
      <c r="Y19" s="156">
        <f>Y18-K19-L19</f>
        <v>-2429726</v>
      </c>
      <c r="Z19" s="217">
        <f>AVERAGE(Y20:Y27)</f>
        <v>-2443063.25</v>
      </c>
      <c r="AA19" s="92"/>
      <c r="AD19" s="309"/>
    </row>
    <row r="20" spans="2:31">
      <c r="B20" s="116">
        <v>44740</v>
      </c>
      <c r="C20" s="14"/>
      <c r="D20" s="87"/>
      <c r="E20" s="87">
        <v>10</v>
      </c>
      <c r="F20" s="23">
        <v>-724036</v>
      </c>
      <c r="G20" s="26">
        <f>D20+E20+F20-E19-F19</f>
        <v>-12315</v>
      </c>
      <c r="H20" s="132">
        <v>300</v>
      </c>
      <c r="I20" s="63">
        <v>-1800</v>
      </c>
      <c r="J20" s="63">
        <v>-700</v>
      </c>
      <c r="K20" s="170">
        <f t="shared" si="7"/>
        <v>-2200</v>
      </c>
      <c r="L20" s="171">
        <v>-26</v>
      </c>
      <c r="M20" s="153"/>
      <c r="N20" s="149">
        <f t="shared" si="8"/>
        <v>-14541</v>
      </c>
      <c r="O20" s="67">
        <f t="shared" si="2"/>
        <v>3604627.4178571436</v>
      </c>
      <c r="P20" s="7">
        <f t="shared" si="4"/>
        <v>50464783.850000009</v>
      </c>
      <c r="Q20" s="164">
        <f>Q19+N20+2</f>
        <v>3903011.45</v>
      </c>
      <c r="R20" s="29">
        <f t="shared" si="3"/>
        <v>2518.9120351046095</v>
      </c>
      <c r="S20" s="5">
        <f>SUM($Q$7:$Q20)/T20+2</f>
        <v>4051871.5214285725</v>
      </c>
      <c r="T20" s="18">
        <v>14</v>
      </c>
      <c r="U20" s="138">
        <f>B19+8</f>
        <v>44747</v>
      </c>
      <c r="V20" s="131"/>
      <c r="W20" s="105">
        <v>-2427501</v>
      </c>
      <c r="X20" s="167"/>
      <c r="Y20" s="156">
        <f>Y19-K20-L20-1</f>
        <v>-2427501</v>
      </c>
      <c r="Z20" s="217"/>
      <c r="AA20" s="92"/>
      <c r="AB20" s="92"/>
    </row>
    <row r="21" spans="2:31">
      <c r="B21" s="116">
        <v>44741</v>
      </c>
      <c r="C21" s="14" t="str">
        <f t="shared" si="0"/>
        <v/>
      </c>
      <c r="D21" s="87">
        <f>-74143-688+1483</f>
        <v>-73348</v>
      </c>
      <c r="E21" s="87">
        <v>41</v>
      </c>
      <c r="F21" s="23">
        <v>-716213</v>
      </c>
      <c r="G21" s="26">
        <f>D21+E21+F21-E20-F20</f>
        <v>-65494</v>
      </c>
      <c r="H21" s="132">
        <v>400</v>
      </c>
      <c r="I21" s="63">
        <v>-13900</v>
      </c>
      <c r="J21" s="63">
        <v>-700</v>
      </c>
      <c r="K21" s="170">
        <f t="shared" si="7"/>
        <v>-14200</v>
      </c>
      <c r="L21" s="171">
        <v>40</v>
      </c>
      <c r="M21" s="153"/>
      <c r="N21" s="149">
        <f>L21+K21+G21+M21</f>
        <v>-79654</v>
      </c>
      <c r="O21" s="67">
        <f t="shared" si="2"/>
        <v>3608492.1533333343</v>
      </c>
      <c r="P21" s="7">
        <f t="shared" si="4"/>
        <v>54127382.300000012</v>
      </c>
      <c r="Q21" s="164">
        <f>Q20+N21+99</f>
        <v>3823456.45</v>
      </c>
      <c r="R21" s="29">
        <f t="shared" si="3"/>
        <v>2509.4449659534089</v>
      </c>
      <c r="S21" s="5">
        <f>SUM($Q$7:$Q21)/T21+1</f>
        <v>4036642.9833333343</v>
      </c>
      <c r="T21" s="18">
        <v>15</v>
      </c>
      <c r="U21" s="4"/>
      <c r="V21" s="131"/>
      <c r="W21" s="105">
        <v>-2413341</v>
      </c>
      <c r="X21" s="167"/>
      <c r="Y21" s="156">
        <f>Y20-K21-L21</f>
        <v>-2413341</v>
      </c>
      <c r="Z21" s="217"/>
      <c r="AA21" s="92"/>
    </row>
    <row r="22" spans="2:31">
      <c r="B22" s="116">
        <v>44742</v>
      </c>
      <c r="C22" s="14" t="str">
        <f t="shared" si="0"/>
        <v/>
      </c>
      <c r="D22" s="87">
        <f>-82-520+401</f>
        <v>-201</v>
      </c>
      <c r="E22" s="87">
        <v>0</v>
      </c>
      <c r="F22" s="23">
        <v>-816027</v>
      </c>
      <c r="G22" s="26">
        <f>D22+E22+F22-E21-F21</f>
        <v>-100056</v>
      </c>
      <c r="H22" s="132">
        <v>300</v>
      </c>
      <c r="I22" s="63">
        <v>-26300</v>
      </c>
      <c r="J22" s="63">
        <v>-700</v>
      </c>
      <c r="K22" s="170">
        <f t="shared" si="7"/>
        <v>-26700</v>
      </c>
      <c r="L22" s="171">
        <v>-43</v>
      </c>
      <c r="M22" s="153"/>
      <c r="N22" s="149">
        <f>L22+K22+G22+M22</f>
        <v>-126799</v>
      </c>
      <c r="O22" s="67">
        <f t="shared" si="2"/>
        <v>3603948.7968750009</v>
      </c>
      <c r="P22" s="7">
        <f t="shared" si="4"/>
        <v>57663180.750000015</v>
      </c>
      <c r="Q22" s="164">
        <f>Q21+N22-1</f>
        <v>3696656.45</v>
      </c>
      <c r="R22" s="29">
        <f t="shared" si="3"/>
        <v>2496.2338755299711</v>
      </c>
      <c r="S22" s="5">
        <f>SUM($Q$7:$Q22)/T22-1</f>
        <v>4015391.8875000011</v>
      </c>
      <c r="T22" s="18">
        <v>16</v>
      </c>
      <c r="U22" s="4"/>
      <c r="V22" s="131"/>
      <c r="W22" s="105">
        <v>-2386598</v>
      </c>
      <c r="X22" s="167"/>
      <c r="Y22" s="156">
        <f>Y21-K22-L22</f>
        <v>-2386598</v>
      </c>
      <c r="Z22" s="217"/>
      <c r="AA22" s="92"/>
    </row>
    <row r="23" spans="2:31">
      <c r="B23" s="116">
        <v>44743</v>
      </c>
      <c r="C23" s="14"/>
      <c r="D23" s="87"/>
      <c r="E23" s="87">
        <v>0</v>
      </c>
      <c r="F23" s="23">
        <v>-736337</v>
      </c>
      <c r="G23" s="26">
        <f>D23+E23+F23-E22-F22</f>
        <v>79690</v>
      </c>
      <c r="H23" s="132">
        <v>9800</v>
      </c>
      <c r="I23" s="63">
        <v>67900</v>
      </c>
      <c r="J23" s="63">
        <v>-700</v>
      </c>
      <c r="K23" s="170">
        <f t="shared" si="7"/>
        <v>77000</v>
      </c>
      <c r="L23" s="171">
        <v>-9</v>
      </c>
      <c r="M23" s="153"/>
      <c r="N23" s="149">
        <f>L23+K23+G23+M23</f>
        <v>156681</v>
      </c>
      <c r="O23" s="67">
        <f t="shared" si="2"/>
        <v>3609155.8941176482</v>
      </c>
      <c r="P23" s="7">
        <f t="shared" si="4"/>
        <v>61355650.200000018</v>
      </c>
      <c r="Q23" s="164">
        <f>Q22+N23-10</f>
        <v>3853327.45</v>
      </c>
      <c r="R23" s="29">
        <f t="shared" si="3"/>
        <v>2490.3079899480222</v>
      </c>
      <c r="S23" s="5">
        <f>SUM($Q$7:$Q23)/T23</f>
        <v>4005859.6264705895</v>
      </c>
      <c r="T23" s="18">
        <v>17</v>
      </c>
      <c r="U23" s="27"/>
      <c r="V23" s="135"/>
      <c r="W23" s="105">
        <v>-2463579</v>
      </c>
      <c r="X23" s="167"/>
      <c r="Y23" s="156">
        <f>Y22-K23-L23+10</f>
        <v>-2463579</v>
      </c>
      <c r="Z23" s="217"/>
      <c r="AA23" s="92"/>
    </row>
    <row r="24" spans="2:31">
      <c r="B24" s="116">
        <v>44744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3613784.4250000012</v>
      </c>
      <c r="P24" s="7">
        <f t="shared" si="4"/>
        <v>65048119.650000021</v>
      </c>
      <c r="Q24" s="164">
        <f t="shared" ref="Q24:Q25" si="10">Q23+N24</f>
        <v>3853327.45</v>
      </c>
      <c r="R24" s="29">
        <f t="shared" si="3"/>
        <v>2485.0399835051212</v>
      </c>
      <c r="S24" s="5">
        <f>SUM($Q$7:$Q24)/T24</f>
        <v>3997385.6166666681</v>
      </c>
      <c r="T24" s="18">
        <v>18</v>
      </c>
      <c r="U24" s="4"/>
      <c r="V24" s="135"/>
      <c r="W24" s="105">
        <v>-2463579</v>
      </c>
      <c r="X24" s="167"/>
      <c r="Y24" s="156">
        <f t="shared" si="6"/>
        <v>-2463579</v>
      </c>
      <c r="Z24" s="217"/>
      <c r="AA24" s="92"/>
      <c r="AD24" s="1"/>
      <c r="AE24" s="1"/>
    </row>
    <row r="25" spans="2:31">
      <c r="B25" s="116">
        <v>44745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3617925.7421052642</v>
      </c>
      <c r="P25" s="7">
        <f t="shared" si="4"/>
        <v>68740589.100000024</v>
      </c>
      <c r="Q25" s="164">
        <f t="shared" si="10"/>
        <v>3853327.45</v>
      </c>
      <c r="R25" s="29">
        <f t="shared" si="3"/>
        <v>2480.3265040562101</v>
      </c>
      <c r="S25" s="5">
        <f>SUM($Q$7:$Q25)/T25</f>
        <v>3989803.6078947382</v>
      </c>
      <c r="T25" s="18">
        <v>19</v>
      </c>
      <c r="U25" s="4"/>
      <c r="V25" s="131"/>
      <c r="W25" s="105">
        <v>-2463579</v>
      </c>
      <c r="X25" s="167"/>
      <c r="Y25" s="156">
        <f t="shared" si="6"/>
        <v>-2463579</v>
      </c>
      <c r="Z25" s="217"/>
      <c r="AA25" s="92"/>
      <c r="AD25" s="1"/>
      <c r="AE25" s="1"/>
    </row>
    <row r="26" spans="2:31">
      <c r="B26" s="116">
        <v>44746</v>
      </c>
      <c r="C26" s="14"/>
      <c r="D26" s="87"/>
      <c r="E26" s="87">
        <v>0</v>
      </c>
      <c r="F26" s="23">
        <v>-736057</v>
      </c>
      <c r="G26" s="26">
        <f>D26+E26+F26-E23-F23</f>
        <v>280</v>
      </c>
      <c r="H26" s="132">
        <v>-7700</v>
      </c>
      <c r="I26" s="63">
        <v>-4800</v>
      </c>
      <c r="J26" s="63">
        <v>-500</v>
      </c>
      <c r="K26" s="170">
        <f t="shared" si="7"/>
        <v>-13000</v>
      </c>
      <c r="L26" s="171">
        <v>-46</v>
      </c>
      <c r="M26" s="153"/>
      <c r="N26" s="149">
        <f t="shared" si="8"/>
        <v>-12766</v>
      </c>
      <c r="O26" s="67">
        <f t="shared" si="2"/>
        <v>3621174.1775000012</v>
      </c>
      <c r="P26" s="7">
        <f t="shared" si="4"/>
        <v>72423483.550000027</v>
      </c>
      <c r="Q26" s="164">
        <f>Q25+N26+3191</f>
        <v>3843752.45</v>
      </c>
      <c r="R26" s="29">
        <f t="shared" si="3"/>
        <v>2475.7855064715477</v>
      </c>
      <c r="S26" s="5">
        <f>SUM($Q$7:$Q26)/T26-2</f>
        <v>3982499.0500000017</v>
      </c>
      <c r="T26" s="18">
        <v>20</v>
      </c>
      <c r="U26" s="138">
        <f>B26</f>
        <v>44746</v>
      </c>
      <c r="V26" s="131">
        <v>2480</v>
      </c>
      <c r="W26" s="105">
        <v>-2453723</v>
      </c>
      <c r="X26" s="167">
        <f>AVERAGE(W26:W34)</f>
        <v>-2492440.222222222</v>
      </c>
      <c r="Y26" s="156">
        <f>Y25-K26-L26-3190</f>
        <v>-2453723</v>
      </c>
      <c r="Z26" s="217">
        <f>AVERAGE(Y26:Y34)</f>
        <v>-2492440.222222222</v>
      </c>
      <c r="AC26" s="92"/>
      <c r="AD26" s="1"/>
      <c r="AE26" s="1"/>
    </row>
    <row r="27" spans="2:31">
      <c r="B27" s="116">
        <v>44747</v>
      </c>
      <c r="C27" s="14" t="str">
        <f t="shared" si="0"/>
        <v/>
      </c>
      <c r="D27" s="87"/>
      <c r="E27" s="87">
        <v>1</v>
      </c>
      <c r="F27" s="23">
        <v>-715396</v>
      </c>
      <c r="G27" s="26">
        <f>D27+E27+F27-E26-F26</f>
        <v>20662</v>
      </c>
      <c r="H27" s="132">
        <v>-6100</v>
      </c>
      <c r="I27" s="63">
        <v>25550</v>
      </c>
      <c r="J27" s="63">
        <v>-600</v>
      </c>
      <c r="K27" s="170">
        <f t="shared" si="7"/>
        <v>18850</v>
      </c>
      <c r="L27" s="171">
        <v>32</v>
      </c>
      <c r="M27" s="153"/>
      <c r="N27" s="149">
        <f>L27+K27+G27+M27</f>
        <v>39544</v>
      </c>
      <c r="O27" s="67">
        <f t="shared" si="2"/>
        <v>3625996.2857142873</v>
      </c>
      <c r="P27" s="7">
        <f t="shared" si="4"/>
        <v>76145922.00000003</v>
      </c>
      <c r="Q27" s="164">
        <f>Q26+N27</f>
        <v>3883296.45</v>
      </c>
      <c r="R27" s="29">
        <f t="shared" si="3"/>
        <v>2472.8499803731074</v>
      </c>
      <c r="S27" s="5">
        <f>SUM($Q$7:$Q27)/T27</f>
        <v>3977777.0214285729</v>
      </c>
      <c r="T27" s="18">
        <v>21</v>
      </c>
      <c r="U27" s="138">
        <f>B28+6</f>
        <v>44754</v>
      </c>
      <c r="V27" s="159"/>
      <c r="W27" s="105">
        <v>-2472606</v>
      </c>
      <c r="X27" s="167"/>
      <c r="Y27" s="156">
        <f>Y26-K27-L27-1</f>
        <v>-2472606</v>
      </c>
      <c r="Z27" s="217"/>
      <c r="AA27" s="92"/>
      <c r="AD27" s="1"/>
      <c r="AE27" s="1"/>
    </row>
    <row r="28" spans="2:31">
      <c r="B28" s="116">
        <v>44748</v>
      </c>
      <c r="C28" s="14" t="str">
        <f t="shared" si="0"/>
        <v/>
      </c>
      <c r="D28" s="87">
        <f>-1483+1040.5</f>
        <v>-442.5</v>
      </c>
      <c r="E28" s="87">
        <v>0</v>
      </c>
      <c r="F28" s="23">
        <v>-712795</v>
      </c>
      <c r="G28" s="26">
        <f>D28+E28+F28-E27-F27</f>
        <v>2157.5</v>
      </c>
      <c r="H28" s="132">
        <v>-200</v>
      </c>
      <c r="I28" s="63">
        <v>4850</v>
      </c>
      <c r="J28" s="63">
        <v>-600</v>
      </c>
      <c r="K28" s="170">
        <f t="shared" si="7"/>
        <v>4050</v>
      </c>
      <c r="L28" s="171">
        <v>21</v>
      </c>
      <c r="M28" s="153"/>
      <c r="N28" s="149">
        <f>L28+K28+G28+M28</f>
        <v>6228.5</v>
      </c>
      <c r="O28" s="67">
        <f t="shared" si="2"/>
        <v>3630663.0431818198</v>
      </c>
      <c r="P28" s="7">
        <f t="shared" si="4"/>
        <v>79874586.950000033</v>
      </c>
      <c r="Q28" s="164">
        <f>Q27+N28-2</f>
        <v>3889522.95</v>
      </c>
      <c r="R28" s="29">
        <f t="shared" si="3"/>
        <v>2470.3561356769787</v>
      </c>
      <c r="S28" s="5">
        <f>SUM($Q$7:$Q28)/T28</f>
        <v>3973765.4727272745</v>
      </c>
      <c r="T28" s="18">
        <v>22</v>
      </c>
      <c r="U28" s="4"/>
      <c r="V28" s="131"/>
      <c r="W28" s="105">
        <v>-2476675</v>
      </c>
      <c r="X28" s="167"/>
      <c r="Y28" s="156">
        <f>Y27-K28-L28+2</f>
        <v>-2476675</v>
      </c>
      <c r="Z28" s="217"/>
      <c r="AA28" s="92"/>
      <c r="AD28" s="1"/>
      <c r="AE28" s="1"/>
    </row>
    <row r="29" spans="2:31">
      <c r="B29" s="116">
        <v>44749</v>
      </c>
      <c r="C29" s="14" t="str">
        <f t="shared" si="0"/>
        <v/>
      </c>
      <c r="D29" s="87"/>
      <c r="E29" s="87">
        <v>0</v>
      </c>
      <c r="F29" s="23">
        <v>-707306</v>
      </c>
      <c r="G29" s="26">
        <f>D29+E29+F29-E28-F28</f>
        <v>5489</v>
      </c>
      <c r="H29" s="132">
        <v>-1300</v>
      </c>
      <c r="I29" s="63">
        <v>3400</v>
      </c>
      <c r="J29" s="63">
        <v>-600</v>
      </c>
      <c r="K29" s="170">
        <f t="shared" si="7"/>
        <v>1500</v>
      </c>
      <c r="L29" s="171">
        <v>-30</v>
      </c>
      <c r="M29" s="153"/>
      <c r="N29" s="149">
        <f>L29+K29+G29+M29</f>
        <v>6959</v>
      </c>
      <c r="O29" s="67">
        <f t="shared" si="2"/>
        <v>3635226.5608695666</v>
      </c>
      <c r="P29" s="7">
        <f t="shared" si="4"/>
        <v>83610210.900000036</v>
      </c>
      <c r="Q29" s="164">
        <f>Q28+N29</f>
        <v>3896481.95</v>
      </c>
      <c r="R29" s="29">
        <f t="shared" si="3"/>
        <v>2468.2672416449404</v>
      </c>
      <c r="S29" s="5">
        <f>SUM($Q$7:$Q29)/T29</f>
        <v>3970405.3195652189</v>
      </c>
      <c r="T29" s="18">
        <v>23</v>
      </c>
      <c r="U29" s="4"/>
      <c r="V29" s="131"/>
      <c r="W29" s="105">
        <v>-2478145</v>
      </c>
      <c r="X29" s="167"/>
      <c r="Y29" s="156">
        <f>Y28-K29-L29</f>
        <v>-2478145</v>
      </c>
      <c r="Z29" s="217"/>
      <c r="AA29" s="92"/>
      <c r="AD29" s="1"/>
      <c r="AE29" s="1"/>
    </row>
    <row r="30" spans="2:31">
      <c r="B30" s="116">
        <v>44750</v>
      </c>
      <c r="C30" s="14" t="str">
        <f t="shared" si="0"/>
        <v/>
      </c>
      <c r="D30" s="87"/>
      <c r="E30" s="87">
        <v>4</v>
      </c>
      <c r="F30" s="23">
        <v>-726026</v>
      </c>
      <c r="G30" s="26">
        <f>D30+E30+F30-E29-F29</f>
        <v>-18716</v>
      </c>
      <c r="H30" s="132">
        <v>-1300</v>
      </c>
      <c r="I30" s="25">
        <v>38900</v>
      </c>
      <c r="J30" s="25">
        <v>-600</v>
      </c>
      <c r="K30" s="170">
        <f t="shared" si="7"/>
        <v>37000</v>
      </c>
      <c r="L30" s="171">
        <v>-49</v>
      </c>
      <c r="M30" s="153"/>
      <c r="N30" s="149">
        <f>L30+K30+G30+M30</f>
        <v>18235</v>
      </c>
      <c r="O30" s="67">
        <f t="shared" si="2"/>
        <v>3640169.5770833348</v>
      </c>
      <c r="P30" s="7">
        <f t="shared" si="4"/>
        <v>87364069.850000039</v>
      </c>
      <c r="Q30" s="164">
        <f>Q29+N30</f>
        <v>3914716.95</v>
      </c>
      <c r="R30" s="29">
        <f t="shared" si="3"/>
        <v>2466.8284889985794</v>
      </c>
      <c r="S30" s="5">
        <f>SUM($Q$7:$Q30)/T30+6</f>
        <v>3968090.9708333351</v>
      </c>
      <c r="T30" s="18">
        <v>24</v>
      </c>
      <c r="U30" s="4"/>
      <c r="V30" s="131"/>
      <c r="W30" s="105">
        <v>-2515096</v>
      </c>
      <c r="X30" s="167"/>
      <c r="Y30" s="156">
        <f>Y29-K30-L30</f>
        <v>-2515096</v>
      </c>
      <c r="Z30" s="217"/>
      <c r="AA30" s="92"/>
      <c r="AD30" s="1"/>
      <c r="AE30" s="1"/>
    </row>
    <row r="31" spans="2:31">
      <c r="B31" s="116">
        <v>44751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3644717.1520000016</v>
      </c>
      <c r="P31" s="7">
        <f t="shared" si="4"/>
        <v>91117928.800000042</v>
      </c>
      <c r="Q31" s="164">
        <f t="shared" ref="Q31:Q39" si="11">Q30+N31</f>
        <v>3914716.95</v>
      </c>
      <c r="R31" s="29">
        <f t="shared" si="3"/>
        <v>2465.4989183006142</v>
      </c>
      <c r="S31" s="5">
        <f>SUM($Q$7:$Q31)/T31+2</f>
        <v>3965952.2500000019</v>
      </c>
      <c r="T31" s="18">
        <v>25</v>
      </c>
      <c r="U31" s="4"/>
      <c r="V31" s="137"/>
      <c r="W31" s="105">
        <v>-2515096</v>
      </c>
      <c r="X31" s="167"/>
      <c r="Y31" s="156">
        <f t="shared" si="6"/>
        <v>-2515096</v>
      </c>
      <c r="Z31" s="217"/>
      <c r="AA31" s="92"/>
      <c r="AB31" s="92"/>
      <c r="AD31" s="1"/>
      <c r="AE31" s="1"/>
    </row>
    <row r="32" spans="2:31">
      <c r="B32" s="116">
        <v>44752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3648914.9134615404</v>
      </c>
      <c r="P32" s="7">
        <f t="shared" si="4"/>
        <v>94871787.750000045</v>
      </c>
      <c r="Q32" s="164">
        <f t="shared" si="11"/>
        <v>3914716.95</v>
      </c>
      <c r="R32" s="29">
        <f t="shared" si="3"/>
        <v>2464.2689443245226</v>
      </c>
      <c r="S32" s="5">
        <f>SUM($Q$7:$Q32)/T32-6</f>
        <v>3963973.7384615401</v>
      </c>
      <c r="T32" s="18">
        <v>26</v>
      </c>
      <c r="U32" s="27"/>
      <c r="V32" s="137"/>
      <c r="W32" s="105">
        <v>-2515096</v>
      </c>
      <c r="X32" s="167"/>
      <c r="Y32" s="156">
        <f t="shared" si="6"/>
        <v>-2515096</v>
      </c>
      <c r="Z32" s="217"/>
      <c r="AD32" s="1"/>
      <c r="AE32" s="1"/>
    </row>
    <row r="33" spans="2:31">
      <c r="B33" s="116">
        <v>44753</v>
      </c>
      <c r="C33" s="14" t="str">
        <f t="shared" si="0"/>
        <v/>
      </c>
      <c r="D33" s="87"/>
      <c r="E33" s="87">
        <v>0</v>
      </c>
      <c r="F33" s="23">
        <v>-710896</v>
      </c>
      <c r="G33" s="26">
        <f>D33+E33+F33-E30-F30</f>
        <v>15126</v>
      </c>
      <c r="H33" s="132">
        <v>300</v>
      </c>
      <c r="I33" s="25">
        <v>-11700</v>
      </c>
      <c r="J33" s="25">
        <v>-400</v>
      </c>
      <c r="K33" s="170">
        <f t="shared" si="7"/>
        <v>-11800</v>
      </c>
      <c r="L33" s="171">
        <v>39</v>
      </c>
      <c r="M33" s="153"/>
      <c r="N33" s="149">
        <f t="shared" si="8"/>
        <v>3365</v>
      </c>
      <c r="O33" s="67">
        <f t="shared" si="2"/>
        <v>3652926.3592592608</v>
      </c>
      <c r="P33" s="7">
        <f t="shared" si="4"/>
        <v>98629011.700000048</v>
      </c>
      <c r="Q33" s="164">
        <f>Q32+N33</f>
        <v>3918081.95</v>
      </c>
      <c r="R33" s="29">
        <f t="shared" si="3"/>
        <v>2463.2152708415947</v>
      </c>
      <c r="S33" s="5">
        <f>SUM($Q$7:$Q33)/T33-1</f>
        <v>3962278.8203703724</v>
      </c>
      <c r="T33" s="18">
        <v>27</v>
      </c>
      <c r="U33" s="138">
        <f>B33</f>
        <v>44753</v>
      </c>
      <c r="V33" s="131">
        <v>2439.9</v>
      </c>
      <c r="W33" s="105">
        <v>-2503335</v>
      </c>
      <c r="X33" s="167">
        <f>AVERAGE(W33:W41)</f>
        <v>-2493385</v>
      </c>
      <c r="Y33" s="156">
        <f>Y32-K33-L33</f>
        <v>-2503335</v>
      </c>
      <c r="Z33" s="217">
        <f>AVERAGE(Y33:Y41)</f>
        <v>-2493385</v>
      </c>
      <c r="AD33" s="1"/>
      <c r="AE33" s="1"/>
    </row>
    <row r="34" spans="2:31">
      <c r="B34" s="116">
        <v>44754</v>
      </c>
      <c r="C34" s="14" t="str">
        <f t="shared" si="0"/>
        <v/>
      </c>
      <c r="D34" s="87"/>
      <c r="E34" s="87">
        <v>0</v>
      </c>
      <c r="F34" s="23">
        <v>-703547</v>
      </c>
      <c r="G34" s="26">
        <f>D34+E34+F34-E33-F33</f>
        <v>7349</v>
      </c>
      <c r="H34" s="132">
        <v>300</v>
      </c>
      <c r="I34" s="25">
        <v>-1000</v>
      </c>
      <c r="J34" s="25">
        <v>-400</v>
      </c>
      <c r="K34" s="170">
        <f t="shared" si="7"/>
        <v>-1100</v>
      </c>
      <c r="L34" s="171">
        <v>-45</v>
      </c>
      <c r="M34" s="153"/>
      <c r="N34" s="149">
        <f>L34+K34+G34+M34</f>
        <v>6204</v>
      </c>
      <c r="O34" s="67">
        <f t="shared" si="2"/>
        <v>3656872.844642859</v>
      </c>
      <c r="P34" s="7">
        <f t="shared" si="4"/>
        <v>102392439.65000005</v>
      </c>
      <c r="Q34" s="164">
        <f>Q33+N34</f>
        <v>3924285.95</v>
      </c>
      <c r="R34" s="29">
        <f t="shared" si="3"/>
        <v>2462.3723386021043</v>
      </c>
      <c r="S34" s="5">
        <f>SUM($Q$7:$Q34)/T34</f>
        <v>3960922.8964285734</v>
      </c>
      <c r="T34" s="18">
        <v>28</v>
      </c>
      <c r="U34" s="138">
        <f>B33+8</f>
        <v>44761</v>
      </c>
      <c r="V34" s="131"/>
      <c r="W34" s="105">
        <v>-2502190</v>
      </c>
      <c r="X34" s="167"/>
      <c r="Y34" s="156">
        <f>Y33-K34-L34</f>
        <v>-2502190</v>
      </c>
      <c r="Z34" s="217"/>
      <c r="AA34" s="92"/>
      <c r="AD34" s="1"/>
      <c r="AE34" s="1"/>
    </row>
    <row r="35" spans="2:31">
      <c r="B35" s="116">
        <v>44755</v>
      </c>
      <c r="C35" s="14" t="str">
        <f t="shared" si="0"/>
        <v/>
      </c>
      <c r="D35" s="87">
        <f>-1040.5+916</f>
        <v>-124.5</v>
      </c>
      <c r="E35" s="87">
        <v>0</v>
      </c>
      <c r="F35" s="23">
        <v>-706991</v>
      </c>
      <c r="G35" s="26">
        <f>D35+E35+F35-E34-F34</f>
        <v>-3568.5</v>
      </c>
      <c r="H35" s="132">
        <v>300</v>
      </c>
      <c r="I35" s="25">
        <v>-100</v>
      </c>
      <c r="J35" s="25">
        <v>-400</v>
      </c>
      <c r="K35" s="170">
        <f t="shared" si="7"/>
        <v>-200</v>
      </c>
      <c r="L35" s="171">
        <v>-8</v>
      </c>
      <c r="M35" s="153"/>
      <c r="N35" s="149">
        <f t="shared" si="8"/>
        <v>-3776.5</v>
      </c>
      <c r="O35" s="67">
        <f t="shared" si="2"/>
        <v>3660417.0034482777</v>
      </c>
      <c r="P35" s="7">
        <f t="shared" si="4"/>
        <v>106152093.10000005</v>
      </c>
      <c r="Q35" s="164">
        <f>Q34+N35+2</f>
        <v>3920511.45</v>
      </c>
      <c r="R35" s="29">
        <f t="shared" si="3"/>
        <v>2461.5060477414017</v>
      </c>
      <c r="S35" s="5">
        <f>SUM($Q$7:$Q35)/T35</f>
        <v>3959529.3982758638</v>
      </c>
      <c r="T35" s="18">
        <v>29</v>
      </c>
      <c r="U35" s="4"/>
      <c r="V35" s="131"/>
      <c r="W35" s="105">
        <v>-2501983</v>
      </c>
      <c r="X35" s="167"/>
      <c r="Y35" s="156">
        <f>Y34-K35-L35-1</f>
        <v>-2501983</v>
      </c>
      <c r="Z35" s="217"/>
      <c r="AA35" s="92"/>
      <c r="AD35" s="1"/>
      <c r="AE35" s="1"/>
    </row>
    <row r="36" spans="2:31">
      <c r="B36" s="116">
        <v>44756</v>
      </c>
      <c r="C36" s="14" t="str">
        <f t="shared" si="0"/>
        <v/>
      </c>
      <c r="D36" s="87"/>
      <c r="E36" s="87">
        <v>0</v>
      </c>
      <c r="F36" s="23">
        <v>-700816</v>
      </c>
      <c r="G36" s="26">
        <f>D36+E36+F36-E35-F35</f>
        <v>6175</v>
      </c>
      <c r="H36" s="132">
        <v>300</v>
      </c>
      <c r="I36" s="25">
        <v>-10200</v>
      </c>
      <c r="J36" s="25">
        <v>-500</v>
      </c>
      <c r="K36" s="170">
        <f t="shared" si="7"/>
        <v>-10400</v>
      </c>
      <c r="L36" s="171">
        <v>20</v>
      </c>
      <c r="M36" s="153"/>
      <c r="N36" s="149">
        <f t="shared" si="8"/>
        <v>-4205</v>
      </c>
      <c r="O36" s="67">
        <f t="shared" si="2"/>
        <v>3663584.5850000018</v>
      </c>
      <c r="P36" s="7">
        <f t="shared" si="4"/>
        <v>109907537.55000006</v>
      </c>
      <c r="Q36" s="164">
        <f>Q35+N36-4</f>
        <v>3916302.45</v>
      </c>
      <c r="R36" s="29">
        <f t="shared" si="3"/>
        <v>2460.5953698292915</v>
      </c>
      <c r="S36" s="5">
        <f>SUM($Q$7:$Q36)/T36-24</f>
        <v>3958064.5000000019</v>
      </c>
      <c r="T36" s="18">
        <v>30</v>
      </c>
      <c r="U36" s="4"/>
      <c r="V36" s="136"/>
      <c r="W36" s="105">
        <v>-2491600</v>
      </c>
      <c r="X36" s="167"/>
      <c r="Y36" s="156">
        <f>Y35-K36-L36+3</f>
        <v>-2491600</v>
      </c>
      <c r="Z36" s="217"/>
      <c r="AD36" s="1"/>
      <c r="AE36" s="1"/>
    </row>
    <row r="37" spans="2:31">
      <c r="B37" s="116">
        <v>44757</v>
      </c>
      <c r="C37" s="14"/>
      <c r="D37" s="87"/>
      <c r="E37" s="87">
        <v>0</v>
      </c>
      <c r="F37" s="23">
        <v>-710260</v>
      </c>
      <c r="G37" s="26">
        <f>D37+E37+F37-E36-F36</f>
        <v>-9444</v>
      </c>
      <c r="H37" s="132">
        <v>2800</v>
      </c>
      <c r="I37" s="25">
        <v>1100</v>
      </c>
      <c r="J37" s="25">
        <v>-500</v>
      </c>
      <c r="K37" s="170">
        <f t="shared" si="7"/>
        <v>3400</v>
      </c>
      <c r="L37" s="171">
        <v>43</v>
      </c>
      <c r="M37" s="153"/>
      <c r="N37" s="149">
        <f t="shared" si="8"/>
        <v>-6001</v>
      </c>
      <c r="O37" s="67">
        <f t="shared" si="2"/>
        <v>3666354.1612903243</v>
      </c>
      <c r="P37" s="7">
        <f t="shared" si="4"/>
        <v>113656979.00000006</v>
      </c>
      <c r="Q37" s="164">
        <f>Q36+N37-2</f>
        <v>3910299.45</v>
      </c>
      <c r="R37" s="29">
        <f t="shared" si="3"/>
        <v>2459.6525617264529</v>
      </c>
      <c r="S37" s="5">
        <f>SUM($Q$7:$Q37)/T37+1</f>
        <v>3956547.9177419376</v>
      </c>
      <c r="T37" s="18">
        <v>31</v>
      </c>
      <c r="U37" s="27"/>
      <c r="V37" s="137"/>
      <c r="W37" s="105">
        <v>-2495041</v>
      </c>
      <c r="X37" s="167"/>
      <c r="Y37" s="156">
        <f>Y36-K37-L37+2</f>
        <v>-2495041</v>
      </c>
      <c r="Z37" s="217"/>
      <c r="AA37" s="92"/>
      <c r="AD37" s="1"/>
      <c r="AE37" s="1"/>
    </row>
    <row r="38" spans="2:31">
      <c r="B38" s="116">
        <v>44758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3668950.639062502</v>
      </c>
      <c r="P38" s="7">
        <f t="shared" si="4"/>
        <v>117406420.45000006</v>
      </c>
      <c r="Q38" s="164">
        <f t="shared" si="11"/>
        <v>3910299.45</v>
      </c>
      <c r="R38" s="29">
        <f t="shared" si="3"/>
        <v>2458.7534871594835</v>
      </c>
      <c r="S38" s="5">
        <f>SUM($Q$7:$Q38)/T38</f>
        <v>3955101.684375002</v>
      </c>
      <c r="T38" s="18">
        <v>32</v>
      </c>
      <c r="U38" s="27"/>
      <c r="V38" s="137"/>
      <c r="W38" s="105">
        <v>-2495041</v>
      </c>
      <c r="X38" s="167"/>
      <c r="Y38" s="156">
        <f t="shared" si="6"/>
        <v>-2495041</v>
      </c>
      <c r="Z38" s="217"/>
      <c r="AD38" s="1"/>
      <c r="AE38" s="1"/>
    </row>
    <row r="39" spans="2:31">
      <c r="B39" s="116">
        <v>44759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3671389.7545454567</v>
      </c>
      <c r="P39" s="7">
        <f t="shared" si="4"/>
        <v>121155861.90000007</v>
      </c>
      <c r="Q39" s="164">
        <f t="shared" si="11"/>
        <v>3910299.45</v>
      </c>
      <c r="R39" s="29">
        <f t="shared" si="3"/>
        <v>2457.9107292824065</v>
      </c>
      <c r="S39" s="5">
        <f>SUM($Q$7:$Q39)/T39+2</f>
        <v>3953746.0409090929</v>
      </c>
      <c r="T39" s="18">
        <v>33</v>
      </c>
      <c r="U39" s="27"/>
      <c r="V39" s="137"/>
      <c r="W39" s="105">
        <v>-2495041</v>
      </c>
      <c r="X39" s="167"/>
      <c r="Y39" s="156">
        <f t="shared" si="6"/>
        <v>-2495041</v>
      </c>
      <c r="Z39" s="217"/>
      <c r="AD39" s="1"/>
      <c r="AE39" s="1"/>
    </row>
    <row r="40" spans="2:31">
      <c r="B40" s="116">
        <v>44760</v>
      </c>
      <c r="C40" s="14"/>
      <c r="D40" s="87"/>
      <c r="E40" s="87">
        <v>4</v>
      </c>
      <c r="F40" s="23">
        <v>-705092</v>
      </c>
      <c r="G40" s="26">
        <f>D40+E40+F40-E37-F37</f>
        <v>5172</v>
      </c>
      <c r="H40" s="132">
        <v>300</v>
      </c>
      <c r="I40" s="25">
        <v>-16500</v>
      </c>
      <c r="J40" s="25">
        <v>400</v>
      </c>
      <c r="K40" s="170">
        <f t="shared" si="7"/>
        <v>-15800</v>
      </c>
      <c r="L40" s="171">
        <v>39</v>
      </c>
      <c r="M40" s="153"/>
      <c r="N40" s="149">
        <f t="shared" si="8"/>
        <v>-10589</v>
      </c>
      <c r="O40" s="67">
        <f t="shared" si="2"/>
        <v>3673373.9514705902</v>
      </c>
      <c r="P40" s="7">
        <f t="shared" si="4"/>
        <v>124894714.35000007</v>
      </c>
      <c r="Q40" s="164">
        <f>Q39+N40</f>
        <v>3899710.45</v>
      </c>
      <c r="R40" s="29">
        <f t="shared" si="3"/>
        <v>2456.9221410480432</v>
      </c>
      <c r="S40" s="5">
        <f>SUM($Q$7:$Q40)/T40+1</f>
        <v>3952155.8176470608</v>
      </c>
      <c r="T40" s="18">
        <v>34</v>
      </c>
      <c r="U40" s="138">
        <f>B40</f>
        <v>44760</v>
      </c>
      <c r="V40" s="131">
        <v>2465.4</v>
      </c>
      <c r="W40" s="105">
        <v>-2479279</v>
      </c>
      <c r="X40" s="167">
        <f>AVERAGE(W40:W48)</f>
        <v>-2475561.111111111</v>
      </c>
      <c r="Y40" s="156">
        <f>Y39-K40-L40+1</f>
        <v>-2479279</v>
      </c>
      <c r="Z40" s="217">
        <f>AVERAGE(Y40:Y48)</f>
        <v>-2475562.3333333335</v>
      </c>
      <c r="AD40" s="1"/>
      <c r="AE40" s="1"/>
    </row>
    <row r="41" spans="2:31">
      <c r="B41" s="116">
        <v>44761</v>
      </c>
      <c r="C41" s="14" t="str">
        <f t="shared" si="0"/>
        <v/>
      </c>
      <c r="D41" s="87"/>
      <c r="E41" s="87">
        <v>0</v>
      </c>
      <c r="F41" s="23">
        <v>-700414</v>
      </c>
      <c r="G41" s="26">
        <f>D41+E41+F41-E40-F40</f>
        <v>4674</v>
      </c>
      <c r="H41" s="132">
        <v>300</v>
      </c>
      <c r="I41" s="25">
        <v>-3000</v>
      </c>
      <c r="J41" s="25">
        <v>400</v>
      </c>
      <c r="K41" s="170">
        <f t="shared" si="7"/>
        <v>-2300</v>
      </c>
      <c r="L41" s="171">
        <v>-23</v>
      </c>
      <c r="M41" s="153"/>
      <c r="N41" s="149">
        <f t="shared" si="8"/>
        <v>2351</v>
      </c>
      <c r="O41" s="67">
        <f t="shared" si="2"/>
        <v>3675311.9085714305</v>
      </c>
      <c r="P41" s="7">
        <f t="shared" si="4"/>
        <v>128635916.80000007</v>
      </c>
      <c r="Q41" s="164">
        <f>Q40+N41-1</f>
        <v>3902060.45</v>
      </c>
      <c r="R41" s="29">
        <f t="shared" si="3"/>
        <v>2456.0323701649913</v>
      </c>
      <c r="S41" s="5">
        <f>SUM($Q$7:$Q41)/T41+1</f>
        <v>3950724.5500000017</v>
      </c>
      <c r="T41" s="18">
        <v>35</v>
      </c>
      <c r="U41" s="138">
        <f>B40+8</f>
        <v>44768</v>
      </c>
      <c r="V41" s="137"/>
      <c r="W41" s="105">
        <v>-2476955</v>
      </c>
      <c r="X41" s="167"/>
      <c r="Y41" s="156">
        <f>Y40-K41-L41+1</f>
        <v>-2476955</v>
      </c>
      <c r="Z41" s="217"/>
      <c r="AD41" s="1"/>
      <c r="AE41" s="1"/>
    </row>
    <row r="42" spans="2:31">
      <c r="B42" s="116">
        <v>44762</v>
      </c>
      <c r="C42" s="14" t="str">
        <f t="shared" si="0"/>
        <v/>
      </c>
      <c r="D42" s="87">
        <f>-916+976</f>
        <v>60</v>
      </c>
      <c r="E42" s="87">
        <v>0</v>
      </c>
      <c r="F42" s="23">
        <v>-665517</v>
      </c>
      <c r="G42" s="26">
        <f>D42+E42+F42-E41-F41</f>
        <v>34957</v>
      </c>
      <c r="H42" s="132">
        <v>-200</v>
      </c>
      <c r="I42" s="25">
        <v>-5100</v>
      </c>
      <c r="J42" s="25">
        <v>400</v>
      </c>
      <c r="K42" s="170">
        <f t="shared" si="7"/>
        <v>-4900</v>
      </c>
      <c r="L42" s="171">
        <v>-1</v>
      </c>
      <c r="M42" s="153"/>
      <c r="N42" s="149">
        <f t="shared" si="8"/>
        <v>30056</v>
      </c>
      <c r="O42" s="67">
        <f t="shared" si="2"/>
        <v>3677977.0625000019</v>
      </c>
      <c r="P42" s="7">
        <f t="shared" si="4"/>
        <v>132407174.25000007</v>
      </c>
      <c r="Q42" s="164">
        <f>Q41+N42-1</f>
        <v>3932115.45</v>
      </c>
      <c r="R42" s="29">
        <f t="shared" si="3"/>
        <v>2455.7110360276356</v>
      </c>
      <c r="S42" s="5">
        <f>SUM($Q$7:$Q42)/T42+1</f>
        <v>3950207.6583333346</v>
      </c>
      <c r="T42" s="18">
        <v>36</v>
      </c>
      <c r="U42" s="138"/>
      <c r="V42" s="137"/>
      <c r="W42" s="105">
        <v>-2472053</v>
      </c>
      <c r="X42" s="167"/>
      <c r="Y42" s="156">
        <f t="shared" ref="Y42:Y48" si="12">Y41-K42-L42+1</f>
        <v>-2472053</v>
      </c>
      <c r="Z42" s="217"/>
      <c r="AD42" s="1"/>
      <c r="AE42" s="1"/>
    </row>
    <row r="43" spans="2:31">
      <c r="B43" s="116">
        <v>44763</v>
      </c>
      <c r="C43" s="14" t="str">
        <f t="shared" si="0"/>
        <v/>
      </c>
      <c r="D43" s="87"/>
      <c r="E43" s="87">
        <v>0</v>
      </c>
      <c r="F43" s="23">
        <v>-700937</v>
      </c>
      <c r="G43" s="26">
        <f>D43+E43+F43-E42-F42</f>
        <v>-35420</v>
      </c>
      <c r="H43" s="132">
        <v>-15700</v>
      </c>
      <c r="I43" s="25">
        <v>11600</v>
      </c>
      <c r="J43" s="25">
        <v>400</v>
      </c>
      <c r="K43" s="170">
        <f t="shared" si="7"/>
        <v>-3700</v>
      </c>
      <c r="L43" s="171">
        <v>1</v>
      </c>
      <c r="M43" s="153"/>
      <c r="N43" s="149">
        <f t="shared" si="8"/>
        <v>-39119</v>
      </c>
      <c r="O43" s="67">
        <f t="shared" si="2"/>
        <v>3679440.9378378401</v>
      </c>
      <c r="P43" s="7">
        <f t="shared" si="4"/>
        <v>136139314.70000008</v>
      </c>
      <c r="Q43" s="164">
        <f>Q42+N43+2</f>
        <v>3892998.45</v>
      </c>
      <c r="R43" s="29">
        <f t="shared" si="3"/>
        <v>2454.6907772945965</v>
      </c>
      <c r="S43" s="5">
        <f>SUM($Q$7:$Q43)/T43-94</f>
        <v>3948566.4905405417</v>
      </c>
      <c r="T43" s="18">
        <v>37</v>
      </c>
      <c r="U43" s="138"/>
      <c r="V43" s="137"/>
      <c r="W43" s="105">
        <v>-2468356</v>
      </c>
      <c r="X43" s="167"/>
      <c r="Y43" s="156">
        <f>Y42-K43-L43-3</f>
        <v>-2468357</v>
      </c>
      <c r="Z43" s="217"/>
      <c r="AD43" s="1"/>
      <c r="AE43" s="1"/>
    </row>
    <row r="44" spans="2:31">
      <c r="B44" s="116">
        <v>44764</v>
      </c>
      <c r="C44" s="14" t="str">
        <f t="shared" si="0"/>
        <v/>
      </c>
      <c r="D44" s="87"/>
      <c r="E44" s="87">
        <v>1</v>
      </c>
      <c r="F44" s="23">
        <v>-698545</v>
      </c>
      <c r="G44" s="26">
        <f>D44+E44+F44-E43-F43</f>
        <v>2393</v>
      </c>
      <c r="H44" s="132">
        <v>2300</v>
      </c>
      <c r="I44" s="25">
        <v>6400</v>
      </c>
      <c r="J44" s="25">
        <v>300</v>
      </c>
      <c r="K44" s="170">
        <f t="shared" si="7"/>
        <v>9000</v>
      </c>
      <c r="L44" s="171">
        <v>24</v>
      </c>
      <c r="M44" s="153"/>
      <c r="N44" s="149">
        <f t="shared" si="8"/>
        <v>11417</v>
      </c>
      <c r="O44" s="67">
        <f t="shared" si="2"/>
        <v>3681128.1881578965</v>
      </c>
      <c r="P44" s="7">
        <f t="shared" si="4"/>
        <v>139882871.15000007</v>
      </c>
      <c r="Q44" s="164">
        <f>Q43+N44-1</f>
        <v>3904414.45</v>
      </c>
      <c r="R44" s="29">
        <f t="shared" si="3"/>
        <v>2454.0259863063275</v>
      </c>
      <c r="S44" s="5">
        <f>SUM($Q$7:$Q44)/T44+1</f>
        <v>3947497.1210526321</v>
      </c>
      <c r="T44" s="18">
        <v>38</v>
      </c>
      <c r="U44" s="138"/>
      <c r="V44" s="137"/>
      <c r="W44" s="105">
        <v>-2477379</v>
      </c>
      <c r="X44" s="167"/>
      <c r="Y44" s="156">
        <f>Y43-K44-L44</f>
        <v>-2477381</v>
      </c>
      <c r="Z44" s="217"/>
      <c r="AD44" s="1"/>
      <c r="AE44" s="1"/>
    </row>
    <row r="45" spans="2:31">
      <c r="B45" s="116">
        <v>44765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7"/>
        <v>0</v>
      </c>
      <c r="L45" s="171"/>
      <c r="M45" s="153"/>
      <c r="N45" s="149">
        <f t="shared" si="8"/>
        <v>0</v>
      </c>
      <c r="O45" s="67">
        <f t="shared" si="2"/>
        <v>3682728.9128205143</v>
      </c>
      <c r="P45" s="7">
        <f t="shared" si="4"/>
        <v>143626427.60000005</v>
      </c>
      <c r="Q45" s="164">
        <f t="shared" ref="Q45:Q46" si="13">Q44+N45</f>
        <v>3904414.45</v>
      </c>
      <c r="R45" s="29">
        <f t="shared" si="3"/>
        <v>2453.3392574945065</v>
      </c>
      <c r="S45" s="5">
        <f>SUM($Q$7:$Q45)/T45+1</f>
        <v>3946392.4628205132</v>
      </c>
      <c r="T45" s="18">
        <v>39</v>
      </c>
      <c r="U45" s="138"/>
      <c r="V45" s="137"/>
      <c r="W45" s="105">
        <v>-2477379</v>
      </c>
      <c r="X45" s="167"/>
      <c r="Y45" s="156">
        <f>Y44-K45-L45</f>
        <v>-2477381</v>
      </c>
      <c r="Z45" s="217"/>
      <c r="AD45" s="1"/>
      <c r="AE45" s="1"/>
    </row>
    <row r="46" spans="2:31">
      <c r="B46" s="116">
        <v>44766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7"/>
        <v>0</v>
      </c>
      <c r="L46" s="171"/>
      <c r="M46" s="153"/>
      <c r="N46" s="149">
        <f t="shared" si="8"/>
        <v>0</v>
      </c>
      <c r="O46" s="67">
        <f t="shared" si="2"/>
        <v>3684249.6012500012</v>
      </c>
      <c r="P46" s="7">
        <f t="shared" si="4"/>
        <v>147369984.05000004</v>
      </c>
      <c r="Q46" s="164">
        <f t="shared" si="13"/>
        <v>3904414.45</v>
      </c>
      <c r="R46" s="29">
        <f t="shared" si="3"/>
        <v>2452.6868651232762</v>
      </c>
      <c r="S46" s="5">
        <f>SUM($Q$7:$Q46)/T46+1</f>
        <v>3945343.0375000001</v>
      </c>
      <c r="T46" s="18">
        <v>40</v>
      </c>
      <c r="U46" s="138"/>
      <c r="V46" s="137"/>
      <c r="W46" s="105">
        <v>-2477379</v>
      </c>
      <c r="X46" s="167"/>
      <c r="Y46" s="156">
        <f>Y45-K46-L46</f>
        <v>-2477381</v>
      </c>
      <c r="Z46" s="217"/>
      <c r="AD46" s="1"/>
      <c r="AE46" s="1"/>
    </row>
    <row r="47" spans="2:31">
      <c r="B47" s="116">
        <v>44767</v>
      </c>
      <c r="C47" s="14" t="str">
        <f t="shared" si="0"/>
        <v/>
      </c>
      <c r="D47" s="87"/>
      <c r="E47" s="87">
        <v>0</v>
      </c>
      <c r="F47" s="23">
        <v>-695618</v>
      </c>
      <c r="G47" s="26">
        <f>D47+E47+F47-E44-F44</f>
        <v>2926</v>
      </c>
      <c r="H47" s="132">
        <v>-3300</v>
      </c>
      <c r="I47" s="25">
        <v>5100</v>
      </c>
      <c r="J47" s="25">
        <v>1200</v>
      </c>
      <c r="K47" s="170">
        <f t="shared" si="7"/>
        <v>3000</v>
      </c>
      <c r="L47" s="171">
        <v>-5</v>
      </c>
      <c r="M47" s="153"/>
      <c r="N47" s="149">
        <f t="shared" si="8"/>
        <v>5921</v>
      </c>
      <c r="O47" s="67">
        <f t="shared" si="2"/>
        <v>3685840.4512195131</v>
      </c>
      <c r="P47" s="7">
        <f t="shared" si="4"/>
        <v>151119458.50000003</v>
      </c>
      <c r="Q47" s="164">
        <f>Q46+N47-3</f>
        <v>3910332.45</v>
      </c>
      <c r="R47" s="29">
        <f t="shared" si="3"/>
        <v>2452.1560289957301</v>
      </c>
      <c r="S47" s="5">
        <f>SUM($Q$7:$Q47)/T47+1</f>
        <v>3944489.1451219511</v>
      </c>
      <c r="T47" s="18">
        <v>41</v>
      </c>
      <c r="U47" s="138"/>
      <c r="V47" s="137"/>
      <c r="W47" s="105">
        <v>-2480375</v>
      </c>
      <c r="X47" s="167"/>
      <c r="Y47" s="156">
        <f t="shared" si="12"/>
        <v>-2480375</v>
      </c>
      <c r="Z47" s="217"/>
      <c r="AD47" s="1"/>
      <c r="AE47" s="1"/>
    </row>
    <row r="48" spans="2:31">
      <c r="B48" s="116">
        <v>44768</v>
      </c>
      <c r="C48" s="14" t="str">
        <f t="shared" si="0"/>
        <v/>
      </c>
      <c r="D48" s="87"/>
      <c r="E48" s="87">
        <v>1</v>
      </c>
      <c r="F48" s="23">
        <v>-701077</v>
      </c>
      <c r="G48" s="26">
        <f>D48+E48+F48-E47-F47</f>
        <v>-5458</v>
      </c>
      <c r="H48" s="132">
        <v>-200</v>
      </c>
      <c r="I48" s="25">
        <v>-10500</v>
      </c>
      <c r="J48" s="25">
        <v>1200</v>
      </c>
      <c r="K48" s="170">
        <f t="shared" si="7"/>
        <v>-9500</v>
      </c>
      <c r="L48" s="171">
        <v>25</v>
      </c>
      <c r="M48" s="153"/>
      <c r="N48" s="149">
        <f t="shared" si="8"/>
        <v>-14933</v>
      </c>
      <c r="O48" s="67">
        <f t="shared" si="2"/>
        <v>3686999.9750000006</v>
      </c>
      <c r="P48" s="7">
        <f t="shared" si="4"/>
        <v>154853998.95000002</v>
      </c>
      <c r="Q48" s="164">
        <f>Q47+N48-1</f>
        <v>3895398.45</v>
      </c>
      <c r="R48" s="29">
        <f t="shared" si="3"/>
        <v>2451.4288023332019</v>
      </c>
      <c r="S48" s="5">
        <f>SUM($Q$7:$Q48)/T48</f>
        <v>3943319.3428571424</v>
      </c>
      <c r="T48" s="18">
        <v>42</v>
      </c>
      <c r="U48" s="138"/>
      <c r="V48" s="137"/>
      <c r="W48" s="105">
        <v>-2470895</v>
      </c>
      <c r="X48" s="167"/>
      <c r="Y48" s="156">
        <f t="shared" si="12"/>
        <v>-2470899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2022'!Q62</f>
        <v>4028052.45</v>
      </c>
    </row>
    <row r="53" spans="4:7">
      <c r="D53" s="138" t="s">
        <v>4</v>
      </c>
      <c r="E53" s="139"/>
      <c r="F53" s="143"/>
      <c r="G53" s="91">
        <f>'MAY 2022'!E62</f>
        <v>0</v>
      </c>
    </row>
    <row r="54" spans="4:7">
      <c r="D54" s="138" t="s">
        <v>60</v>
      </c>
      <c r="E54" s="144"/>
      <c r="F54" s="143"/>
      <c r="G54" s="91">
        <f>'MAY 2022'!F62</f>
        <v>-752157</v>
      </c>
    </row>
    <row r="55" spans="4:7" ht="12.75" thickBot="1">
      <c r="D55" s="140" t="s">
        <v>46</v>
      </c>
      <c r="E55" s="145"/>
      <c r="F55" s="146"/>
      <c r="G55" s="158">
        <f>'MAY 2022'!Y62</f>
        <v>-2580914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0146-8C86-4A63-977F-4116624B7406}">
  <sheetPr codeName="Sheet34">
    <pageSetUpPr fitToPage="1"/>
  </sheetPr>
  <dimension ref="B1:IU65513"/>
  <sheetViews>
    <sheetView zoomScaleNormal="10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H54" sqref="H54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161395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44769</v>
      </c>
      <c r="C7" s="196" t="str">
        <f t="shared" ref="C7:C48" si="0">IF(OR(WEEKDAY(B7)=1,WEEKDAY(B7)=7),"F","")</f>
        <v/>
      </c>
      <c r="D7" s="197">
        <f>-976+1077</f>
        <v>101</v>
      </c>
      <c r="E7" s="197">
        <v>5</v>
      </c>
      <c r="F7" s="198">
        <v>-565180</v>
      </c>
      <c r="G7" s="199">
        <f>D7+E7+F7-G60-G61</f>
        <v>136002</v>
      </c>
      <c r="H7" s="132">
        <v>300</v>
      </c>
      <c r="I7" s="63">
        <v>-28300</v>
      </c>
      <c r="J7" s="63">
        <v>1200</v>
      </c>
      <c r="K7" s="170">
        <f t="shared" ref="K7:K9" si="1">+H7+I7+J7</f>
        <v>-26800</v>
      </c>
      <c r="L7" s="169">
        <v>47</v>
      </c>
      <c r="M7" s="203"/>
      <c r="N7" s="204">
        <f>L7+K7+G7+M7</f>
        <v>109249</v>
      </c>
      <c r="O7" s="205">
        <f t="shared" ref="O7:O48" si="2">P7/T7</f>
        <v>3843253.45</v>
      </c>
      <c r="P7" s="206">
        <f>(+$Q7-$Q$3)</f>
        <v>3843253.45</v>
      </c>
      <c r="Q7" s="207">
        <f>G59+N7+1</f>
        <v>4004648.45</v>
      </c>
      <c r="R7" s="208">
        <f t="shared" ref="R7:R55" si="3">$S7/$Q$3*100</f>
        <v>2481.271693670808</v>
      </c>
      <c r="S7" s="209">
        <f>$Q7</f>
        <v>4004648.45</v>
      </c>
      <c r="T7" s="210">
        <v>1</v>
      </c>
      <c r="U7" s="211">
        <f>B7</f>
        <v>44769</v>
      </c>
      <c r="V7" s="212">
        <v>2422.4</v>
      </c>
      <c r="W7" s="213">
        <v>-2444146</v>
      </c>
      <c r="X7" s="214">
        <f>AVERAGE(W7:W11)</f>
        <v>-2435710.6</v>
      </c>
      <c r="Y7" s="215">
        <f>G62-K7-L7</f>
        <v>-2444146</v>
      </c>
      <c r="Z7" s="216">
        <f>AVERAGE(Y7:Y13)</f>
        <v>-2454097.4285714286</v>
      </c>
      <c r="AA7" s="92"/>
    </row>
    <row r="8" spans="2:255">
      <c r="B8" s="116">
        <v>44770</v>
      </c>
      <c r="C8" s="14"/>
      <c r="D8" s="87">
        <f>-58+173</f>
        <v>115</v>
      </c>
      <c r="E8" s="128">
        <v>3</v>
      </c>
      <c r="F8" s="162">
        <v>-613488</v>
      </c>
      <c r="G8" s="26">
        <f>D8+E8+F8-E7-F7</f>
        <v>-48195</v>
      </c>
      <c r="H8" s="132">
        <v>300</v>
      </c>
      <c r="I8" s="63">
        <v>-33400</v>
      </c>
      <c r="J8" s="63">
        <v>1200</v>
      </c>
      <c r="K8" s="170">
        <f t="shared" si="1"/>
        <v>-31900</v>
      </c>
      <c r="L8" s="171">
        <v>-11</v>
      </c>
      <c r="M8" s="153"/>
      <c r="N8" s="149">
        <f>L8+K8+G8+M8</f>
        <v>-80106</v>
      </c>
      <c r="O8" s="67">
        <f t="shared" si="2"/>
        <v>3803200.95</v>
      </c>
      <c r="P8" s="163">
        <f>(IF($Q8&lt;0,-$Q$3+P7,($Q8-$Q$3)+P7))</f>
        <v>7606401.9000000004</v>
      </c>
      <c r="Q8" s="164">
        <f>Q7+N8+1</f>
        <v>3924543.45</v>
      </c>
      <c r="R8" s="29">
        <f t="shared" si="3"/>
        <v>2456.4552495430466</v>
      </c>
      <c r="S8" s="165">
        <f>SUM($Q$7:$Q8)/T8</f>
        <v>3964595.95</v>
      </c>
      <c r="T8" s="166">
        <v>2</v>
      </c>
      <c r="U8" s="138">
        <f>B7+6</f>
        <v>44775</v>
      </c>
      <c r="V8" s="131"/>
      <c r="W8" s="105">
        <v>-2412232</v>
      </c>
      <c r="X8" s="167"/>
      <c r="Y8" s="156">
        <f>Y7-K8-L8-1</f>
        <v>-2412236</v>
      </c>
      <c r="Z8" s="217"/>
      <c r="AA8" s="92"/>
    </row>
    <row r="9" spans="2:255">
      <c r="B9" s="116">
        <v>44771</v>
      </c>
      <c r="C9" s="14" t="str">
        <f t="shared" si="0"/>
        <v/>
      </c>
      <c r="D9" s="87"/>
      <c r="E9" s="87">
        <v>0</v>
      </c>
      <c r="F9" s="23">
        <v>-711059</v>
      </c>
      <c r="G9" s="26">
        <f>D9+E9+F9-E8-F8</f>
        <v>-97574</v>
      </c>
      <c r="H9" s="132">
        <v>300</v>
      </c>
      <c r="I9" s="63">
        <v>27000</v>
      </c>
      <c r="J9" s="63">
        <v>1100</v>
      </c>
      <c r="K9" s="170">
        <f t="shared" si="1"/>
        <v>28400</v>
      </c>
      <c r="L9" s="171">
        <v>95</v>
      </c>
      <c r="M9" s="153"/>
      <c r="N9" s="149">
        <f>L9+K9+G9+M9</f>
        <v>-69079</v>
      </c>
      <c r="O9" s="67">
        <f t="shared" si="2"/>
        <v>3766753.1166666672</v>
      </c>
      <c r="P9" s="163">
        <f t="shared" ref="P9" si="4">(IF($Q9&lt;0,-$Q$3+P8,($Q9-$Q$3)+P8))</f>
        <v>11300259.350000001</v>
      </c>
      <c r="Q9" s="164">
        <f>Q8+N9-3-209</f>
        <v>3855252.45</v>
      </c>
      <c r="R9" s="29">
        <f t="shared" si="3"/>
        <v>2433.8728688414553</v>
      </c>
      <c r="S9" s="5">
        <f>SUM($Q$7:$Q9)/T9+1</f>
        <v>3928149.1166666672</v>
      </c>
      <c r="T9" s="17">
        <v>3</v>
      </c>
      <c r="U9" s="4"/>
      <c r="V9" s="131"/>
      <c r="W9" s="105">
        <v>-2440725</v>
      </c>
      <c r="X9" s="167"/>
      <c r="Y9" s="156">
        <f>Y8-K9-L9+3</f>
        <v>-2440728</v>
      </c>
      <c r="Z9" s="217"/>
      <c r="AA9" s="92"/>
    </row>
    <row r="10" spans="2:255">
      <c r="B10" s="116">
        <v>44772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3748529.2</v>
      </c>
      <c r="P10" s="163">
        <f>(IF($Q10&lt;0,-$Q$3+P9,($Q10-$Q$3)+P9))</f>
        <v>14994116.800000001</v>
      </c>
      <c r="Q10" s="164">
        <f>Q9+N10</f>
        <v>3855252.45</v>
      </c>
      <c r="R10" s="29">
        <f t="shared" si="3"/>
        <v>2422.5801294959574</v>
      </c>
      <c r="S10" s="5">
        <f>SUM($Q$7:$Q10)/T10-1</f>
        <v>3909923.2</v>
      </c>
      <c r="T10" s="17">
        <v>4</v>
      </c>
      <c r="U10" s="27"/>
      <c r="V10" s="133"/>
      <c r="W10" s="105">
        <v>-2440725</v>
      </c>
      <c r="X10" s="167"/>
      <c r="Y10" s="156">
        <f>Y9-K10-L10</f>
        <v>-2440728</v>
      </c>
      <c r="Z10" s="217"/>
      <c r="AA10" s="92"/>
    </row>
    <row r="11" spans="2:255">
      <c r="B11" s="116">
        <v>44773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3737594.85</v>
      </c>
      <c r="P11" s="163">
        <f t="shared" ref="P11:P14" si="5">(IF($Q11&lt;0,-$Q$3+P10,($Q11-$Q$3)+P10))</f>
        <v>18687974.25</v>
      </c>
      <c r="Q11" s="164">
        <f t="shared" ref="Q11:Q18" si="6">Q10+N11</f>
        <v>3855252.45</v>
      </c>
      <c r="R11" s="29">
        <f t="shared" si="3"/>
        <v>2415.8058490039966</v>
      </c>
      <c r="S11" s="5">
        <f>SUM($Q$7:$Q11)/T11</f>
        <v>3898989.85</v>
      </c>
      <c r="T11" s="17">
        <v>5</v>
      </c>
      <c r="U11" s="27"/>
      <c r="V11" s="134"/>
      <c r="W11" s="105">
        <v>-2440725</v>
      </c>
      <c r="X11" s="167"/>
      <c r="Y11" s="156">
        <f t="shared" ref="Y11:Y39" si="7">Y10-K11-L11</f>
        <v>-2440728</v>
      </c>
      <c r="Z11" s="217"/>
      <c r="AA11" s="92"/>
    </row>
    <row r="12" spans="2:255">
      <c r="B12" s="116">
        <v>44774</v>
      </c>
      <c r="C12" s="14" t="str">
        <f t="shared" si="0"/>
        <v/>
      </c>
      <c r="D12" s="87"/>
      <c r="E12" s="161">
        <v>4</v>
      </c>
      <c r="F12" s="23">
        <v>-635942</v>
      </c>
      <c r="G12" s="26">
        <f>D12+E12+F12-E9-F9</f>
        <v>75121</v>
      </c>
      <c r="H12" s="132">
        <v>12300</v>
      </c>
      <c r="I12" s="63">
        <v>39100</v>
      </c>
      <c r="J12" s="63">
        <v>1000</v>
      </c>
      <c r="K12" s="170">
        <f t="shared" ref="K12:K48" si="8">+H12+I12+J12</f>
        <v>52400</v>
      </c>
      <c r="L12" s="171">
        <v>-8</v>
      </c>
      <c r="M12" s="153"/>
      <c r="N12" s="149">
        <f t="shared" ref="N12:N48" si="9">L12+K12+G12+M12</f>
        <v>127513</v>
      </c>
      <c r="O12" s="67">
        <f t="shared" si="2"/>
        <v>3751592.1166666667</v>
      </c>
      <c r="P12" s="163">
        <f t="shared" si="5"/>
        <v>22509552.699999999</v>
      </c>
      <c r="Q12" s="164">
        <f>Q11+N12-1+209</f>
        <v>3982973.45</v>
      </c>
      <c r="R12" s="29">
        <f t="shared" si="3"/>
        <v>2424.4779061722274</v>
      </c>
      <c r="S12" s="5">
        <f>SUM($Q$7:$Q12)/T12-1</f>
        <v>3912986.1166666667</v>
      </c>
      <c r="T12" s="17">
        <v>6</v>
      </c>
      <c r="U12" s="138">
        <f>B12</f>
        <v>44774</v>
      </c>
      <c r="V12" s="310">
        <v>2432.1999999999998</v>
      </c>
      <c r="W12" s="105">
        <v>-2493116</v>
      </c>
      <c r="X12" s="167">
        <f>AVERAGE(W12:W20)</f>
        <v>-2503473.5555555555</v>
      </c>
      <c r="Y12" s="156">
        <f>Y11-K12-L12</f>
        <v>-2493120</v>
      </c>
      <c r="Z12" s="217">
        <f>AVERAGE(Y12:Y20)</f>
        <v>-2503475.222222222</v>
      </c>
      <c r="AA12" s="92"/>
    </row>
    <row r="13" spans="2:255">
      <c r="B13" s="116">
        <v>44775</v>
      </c>
      <c r="C13" s="14"/>
      <c r="D13" s="87"/>
      <c r="E13" s="87">
        <v>8</v>
      </c>
      <c r="F13" s="23">
        <v>-650744</v>
      </c>
      <c r="G13" s="26">
        <f>D13+E13+F13-E12-F12</f>
        <v>-14798</v>
      </c>
      <c r="H13" s="132">
        <v>300</v>
      </c>
      <c r="I13" s="63">
        <v>12600</v>
      </c>
      <c r="J13" s="63">
        <v>1000</v>
      </c>
      <c r="K13" s="170">
        <f t="shared" si="8"/>
        <v>13900</v>
      </c>
      <c r="L13" s="171">
        <v>-24</v>
      </c>
      <c r="M13" s="153"/>
      <c r="N13" s="149">
        <f t="shared" si="9"/>
        <v>-922</v>
      </c>
      <c r="O13" s="67">
        <f t="shared" si="2"/>
        <v>3761458.5928571424</v>
      </c>
      <c r="P13" s="163">
        <f t="shared" si="5"/>
        <v>26330210.149999999</v>
      </c>
      <c r="Q13" s="164">
        <f>Q12+N13+1</f>
        <v>3982052.45</v>
      </c>
      <c r="R13" s="29">
        <f t="shared" si="3"/>
        <v>2430.5917735104199</v>
      </c>
      <c r="S13" s="5">
        <f>SUM($Q$7:$Q13)/T13</f>
        <v>3922853.5928571424</v>
      </c>
      <c r="T13" s="17">
        <v>7</v>
      </c>
      <c r="U13" s="138">
        <f>B14+6</f>
        <v>44782</v>
      </c>
      <c r="V13" s="249"/>
      <c r="W13" s="105">
        <v>-2506992</v>
      </c>
      <c r="X13" s="167"/>
      <c r="Y13" s="156">
        <f t="shared" ref="Y13:Y14" si="10">Y12-K13-L13</f>
        <v>-2506996</v>
      </c>
      <c r="Z13" s="217"/>
      <c r="AA13" s="92"/>
      <c r="AB13" s="92"/>
    </row>
    <row r="14" spans="2:255">
      <c r="B14" s="116">
        <v>44776</v>
      </c>
      <c r="C14" s="14"/>
      <c r="D14" s="87">
        <f>-1077+864</f>
        <v>-213</v>
      </c>
      <c r="E14" s="87">
        <v>19</v>
      </c>
      <c r="F14" s="23">
        <v>-640028</v>
      </c>
      <c r="G14" s="26">
        <f>D14+E14+F14-E13-F13</f>
        <v>10514</v>
      </c>
      <c r="H14" s="132">
        <v>300</v>
      </c>
      <c r="I14" s="63">
        <v>-3500</v>
      </c>
      <c r="J14" s="63">
        <v>1000</v>
      </c>
      <c r="K14" s="170">
        <f t="shared" si="8"/>
        <v>-2200</v>
      </c>
      <c r="L14" s="171">
        <v>58</v>
      </c>
      <c r="M14" s="154"/>
      <c r="N14" s="149">
        <f>L14+K14+G14+M14</f>
        <v>8372</v>
      </c>
      <c r="O14" s="67">
        <f>P14/T14+1</f>
        <v>3769906.0749999997</v>
      </c>
      <c r="P14" s="163">
        <f t="shared" si="5"/>
        <v>30159240.599999998</v>
      </c>
      <c r="Q14" s="164">
        <f>Q13+N14+1</f>
        <v>3990425.45</v>
      </c>
      <c r="R14" s="29">
        <f t="shared" si="3"/>
        <v>2435.8251959478293</v>
      </c>
      <c r="S14" s="5">
        <f>SUM($Q$7:$Q14)/T14</f>
        <v>3931300.0749999997</v>
      </c>
      <c r="T14" s="17">
        <v>8</v>
      </c>
      <c r="U14" s="4"/>
      <c r="V14" s="4"/>
      <c r="W14" s="105">
        <v>-2504851</v>
      </c>
      <c r="X14" s="167"/>
      <c r="Y14" s="156">
        <f t="shared" si="10"/>
        <v>-2504854</v>
      </c>
      <c r="Z14" s="217"/>
      <c r="AA14" s="92"/>
    </row>
    <row r="15" spans="2:255">
      <c r="B15" s="116">
        <v>44777</v>
      </c>
      <c r="C15" s="14" t="str">
        <f t="shared" si="0"/>
        <v/>
      </c>
      <c r="D15" s="87"/>
      <c r="E15" s="87">
        <v>0</v>
      </c>
      <c r="F15" s="23">
        <v>-631484</v>
      </c>
      <c r="G15" s="26">
        <f>D15+E15+F15-E14-F14</f>
        <v>8525</v>
      </c>
      <c r="H15" s="132">
        <v>300</v>
      </c>
      <c r="I15" s="63">
        <v>-4500</v>
      </c>
      <c r="J15" s="63">
        <v>1000</v>
      </c>
      <c r="K15" s="170">
        <f t="shared" si="8"/>
        <v>-3200</v>
      </c>
      <c r="L15" s="172">
        <v>50</v>
      </c>
      <c r="M15" s="153"/>
      <c r="N15" s="149">
        <f>L15+K15+G15+M15</f>
        <v>5375</v>
      </c>
      <c r="O15" s="67">
        <f t="shared" si="2"/>
        <v>3777071.5611111107</v>
      </c>
      <c r="P15" s="7">
        <f t="shared" ref="P15:P55" si="11">(IF($Q15&lt;0,-$Q$3+P14,($Q15-$Q$3)+P14))</f>
        <v>33993644.049999997</v>
      </c>
      <c r="Q15" s="164">
        <f>Q14+N15+1-3</f>
        <v>3995798.45</v>
      </c>
      <c r="R15" s="29">
        <f t="shared" si="3"/>
        <v>2440.2649159584316</v>
      </c>
      <c r="S15" s="5">
        <f>SUM($Q$7:$Q15)/T15-1</f>
        <v>3938465.5611111107</v>
      </c>
      <c r="T15" s="17">
        <v>9</v>
      </c>
      <c r="U15" s="4"/>
      <c r="V15" s="4"/>
      <c r="W15" s="105">
        <v>-2501700</v>
      </c>
      <c r="X15" s="167"/>
      <c r="Y15" s="156">
        <f>Y14-K15-L15</f>
        <v>-2501704</v>
      </c>
      <c r="Z15" s="217"/>
      <c r="AA15" s="92"/>
      <c r="AB15" s="92"/>
    </row>
    <row r="16" spans="2:255" s="69" customFormat="1">
      <c r="B16" s="116">
        <v>44778</v>
      </c>
      <c r="C16" s="14"/>
      <c r="D16" s="129"/>
      <c r="E16" s="87">
        <v>0</v>
      </c>
      <c r="F16" s="23">
        <v>-664106</v>
      </c>
      <c r="G16" s="26">
        <f>D16+E16+F16-E15-F15</f>
        <v>-32622</v>
      </c>
      <c r="H16" s="132">
        <v>300</v>
      </c>
      <c r="I16" s="63">
        <v>-4750</v>
      </c>
      <c r="J16" s="63">
        <v>1000</v>
      </c>
      <c r="K16" s="170">
        <f t="shared" si="8"/>
        <v>-3450</v>
      </c>
      <c r="L16" s="172">
        <v>-33</v>
      </c>
      <c r="M16" s="153"/>
      <c r="N16" s="152">
        <f>L16+K16+G16+M16</f>
        <v>-36105</v>
      </c>
      <c r="O16" s="67">
        <f t="shared" si="2"/>
        <v>3779194.35</v>
      </c>
      <c r="P16" s="70">
        <f t="shared" si="11"/>
        <v>37791943.5</v>
      </c>
      <c r="Q16" s="164">
        <f>Q15+N16+1</f>
        <v>3959694.45</v>
      </c>
      <c r="R16" s="71">
        <f t="shared" si="3"/>
        <v>2441.5808110536263</v>
      </c>
      <c r="S16" s="72">
        <f>SUM($Q$7:$Q16)/T16</f>
        <v>3940589.35</v>
      </c>
      <c r="T16" s="73">
        <v>10</v>
      </c>
      <c r="U16" s="218"/>
      <c r="V16" s="133"/>
      <c r="W16" s="105">
        <v>-2498218</v>
      </c>
      <c r="X16" s="167"/>
      <c r="Y16" s="156">
        <f>Y15-K16-L16+3</f>
        <v>-2498218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44779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3780931.1772727277</v>
      </c>
      <c r="P17" s="7">
        <f t="shared" si="11"/>
        <v>41590242.950000003</v>
      </c>
      <c r="Q17" s="164">
        <f t="shared" si="6"/>
        <v>3959694.45</v>
      </c>
      <c r="R17" s="29">
        <f t="shared" si="3"/>
        <v>2442.6569455514282</v>
      </c>
      <c r="S17" s="5">
        <f>SUM($Q$7:$Q17)/T17</f>
        <v>3942326.1772727277</v>
      </c>
      <c r="T17" s="18">
        <v>11</v>
      </c>
      <c r="U17" s="27"/>
      <c r="V17" s="136"/>
      <c r="W17" s="105">
        <v>-2498218</v>
      </c>
      <c r="X17" s="167"/>
      <c r="Y17" s="156">
        <f t="shared" si="7"/>
        <v>-2498218</v>
      </c>
      <c r="Z17" s="217"/>
      <c r="AA17" s="92"/>
      <c r="AC17" s="92"/>
    </row>
    <row r="18" spans="2:31">
      <c r="B18" s="116">
        <v>44780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3782378.5333333337</v>
      </c>
      <c r="P18" s="7">
        <f t="shared" si="11"/>
        <v>45388542.400000006</v>
      </c>
      <c r="Q18" s="164">
        <f t="shared" si="6"/>
        <v>3959694.45</v>
      </c>
      <c r="R18" s="29">
        <f t="shared" si="3"/>
        <v>2443.5531047017153</v>
      </c>
      <c r="S18" s="5">
        <f>SUM($Q$7:$Q18)/T18-1</f>
        <v>3943772.5333333337</v>
      </c>
      <c r="T18" s="18">
        <v>12</v>
      </c>
      <c r="U18" s="27"/>
      <c r="V18" s="136"/>
      <c r="W18" s="105">
        <v>-2498218</v>
      </c>
      <c r="X18" s="167"/>
      <c r="Y18" s="156">
        <f t="shared" si="7"/>
        <v>-2498218</v>
      </c>
      <c r="Z18" s="217"/>
      <c r="AA18" s="92"/>
    </row>
    <row r="19" spans="2:31">
      <c r="B19" s="116">
        <v>44781</v>
      </c>
      <c r="C19" s="14" t="str">
        <f t="shared" si="0"/>
        <v/>
      </c>
      <c r="D19" s="87"/>
      <c r="E19" s="87">
        <v>0</v>
      </c>
      <c r="F19" s="23">
        <v>-676371</v>
      </c>
      <c r="G19" s="26">
        <f>D19+E19+F19-E16-F16</f>
        <v>-12265</v>
      </c>
      <c r="H19" s="132">
        <v>300</v>
      </c>
      <c r="I19" s="63">
        <v>8100</v>
      </c>
      <c r="J19" s="63">
        <v>800</v>
      </c>
      <c r="K19" s="170">
        <f t="shared" si="8"/>
        <v>9200</v>
      </c>
      <c r="L19" s="171">
        <v>45</v>
      </c>
      <c r="M19" s="153"/>
      <c r="N19" s="149">
        <f t="shared" si="9"/>
        <v>-3020</v>
      </c>
      <c r="O19" s="67">
        <f t="shared" si="2"/>
        <v>3783370.9115384622</v>
      </c>
      <c r="P19" s="7">
        <f t="shared" si="11"/>
        <v>49183821.850000009</v>
      </c>
      <c r="Q19" s="164">
        <f>Q18+N19</f>
        <v>3956674.45</v>
      </c>
      <c r="R19" s="29">
        <f t="shared" si="3"/>
        <v>2444.1685997326199</v>
      </c>
      <c r="S19" s="5">
        <f>SUM($Q$7:$Q19)/T19</f>
        <v>3944765.9115384622</v>
      </c>
      <c r="T19" s="18">
        <v>13</v>
      </c>
      <c r="U19" s="138">
        <f>B19</f>
        <v>44781</v>
      </c>
      <c r="V19" s="131">
        <v>2459.6</v>
      </c>
      <c r="W19" s="105">
        <v>-2507463</v>
      </c>
      <c r="X19" s="167">
        <f>AVERAGE(W20:W27)</f>
        <v>-2513981</v>
      </c>
      <c r="Y19" s="156">
        <f>Y18-K19-L19</f>
        <v>-2507463</v>
      </c>
      <c r="Z19" s="217">
        <f>AVERAGE(Y19:Y27)</f>
        <v>-2513256.777777778</v>
      </c>
      <c r="AA19" s="92"/>
      <c r="AD19" s="309"/>
    </row>
    <row r="20" spans="2:31">
      <c r="B20" s="116">
        <v>44782</v>
      </c>
      <c r="C20" s="14"/>
      <c r="D20" s="87"/>
      <c r="E20" s="87">
        <v>0</v>
      </c>
      <c r="F20" s="23">
        <v>-672204</v>
      </c>
      <c r="G20" s="26">
        <f>D20+E20+F20-E19-F19</f>
        <v>4167</v>
      </c>
      <c r="H20" s="132">
        <v>300</v>
      </c>
      <c r="I20" s="63">
        <v>13900</v>
      </c>
      <c r="J20" s="63">
        <v>800</v>
      </c>
      <c r="K20" s="170">
        <f t="shared" si="8"/>
        <v>15000</v>
      </c>
      <c r="L20" s="171">
        <v>23</v>
      </c>
      <c r="M20" s="153"/>
      <c r="N20" s="149">
        <f t="shared" si="9"/>
        <v>19190</v>
      </c>
      <c r="O20" s="67">
        <f t="shared" si="2"/>
        <v>3785592.2357142866</v>
      </c>
      <c r="P20" s="7">
        <f t="shared" si="11"/>
        <v>52998291.300000012</v>
      </c>
      <c r="Q20" s="164">
        <f>Q19+N20</f>
        <v>3975864.45</v>
      </c>
      <c r="R20" s="29">
        <f t="shared" si="3"/>
        <v>2445.5449274849202</v>
      </c>
      <c r="S20" s="5">
        <f>SUM($Q$7:$Q20)/T20</f>
        <v>3946987.2357142866</v>
      </c>
      <c r="T20" s="18">
        <v>14</v>
      </c>
      <c r="U20" s="138">
        <f>B19+8</f>
        <v>44789</v>
      </c>
      <c r="V20" s="131"/>
      <c r="W20" s="105">
        <v>-2522486</v>
      </c>
      <c r="X20" s="167"/>
      <c r="Y20" s="156">
        <f>Y19-K20-L20</f>
        <v>-2522486</v>
      </c>
      <c r="Z20" s="217"/>
      <c r="AA20" s="92"/>
      <c r="AB20" s="92"/>
    </row>
    <row r="21" spans="2:31">
      <c r="B21" s="116">
        <v>44783</v>
      </c>
      <c r="C21" s="14" t="str">
        <f t="shared" si="0"/>
        <v/>
      </c>
      <c r="D21" s="87">
        <f>-864+907</f>
        <v>43</v>
      </c>
      <c r="E21" s="87">
        <v>0</v>
      </c>
      <c r="F21" s="23">
        <v>-672490</v>
      </c>
      <c r="G21" s="26">
        <f>D21+E21+F21-E20-F20</f>
        <v>-243</v>
      </c>
      <c r="H21" s="132">
        <v>400</v>
      </c>
      <c r="I21" s="63">
        <v>-3050</v>
      </c>
      <c r="J21" s="63">
        <v>800</v>
      </c>
      <c r="K21" s="170">
        <f t="shared" si="8"/>
        <v>-1850</v>
      </c>
      <c r="L21" s="171">
        <v>42</v>
      </c>
      <c r="M21" s="153"/>
      <c r="N21" s="149">
        <f>L21+K21+G21+M21</f>
        <v>-2051</v>
      </c>
      <c r="O21" s="67">
        <f t="shared" si="2"/>
        <v>3787380.6500000008</v>
      </c>
      <c r="P21" s="7">
        <f t="shared" si="11"/>
        <v>56810709.750000015</v>
      </c>
      <c r="Q21" s="164">
        <f>Q20+N21</f>
        <v>3973813.45</v>
      </c>
      <c r="R21" s="29">
        <f t="shared" si="3"/>
        <v>2446.6524055887735</v>
      </c>
      <c r="S21" s="5">
        <f>SUM($Q$7:$Q21)/T21-1</f>
        <v>3948774.6500000008</v>
      </c>
      <c r="T21" s="18">
        <v>15</v>
      </c>
      <c r="U21" s="4"/>
      <c r="V21" s="131"/>
      <c r="W21" s="105">
        <v>-2520678</v>
      </c>
      <c r="X21" s="167"/>
      <c r="Y21" s="156">
        <f>Y20-K21-L21</f>
        <v>-2520678</v>
      </c>
      <c r="Z21" s="217"/>
      <c r="AA21" s="92"/>
    </row>
    <row r="22" spans="2:31">
      <c r="B22" s="116">
        <v>44784</v>
      </c>
      <c r="C22" s="14" t="str">
        <f t="shared" si="0"/>
        <v/>
      </c>
      <c r="D22" s="87"/>
      <c r="E22" s="87">
        <v>1</v>
      </c>
      <c r="F22" s="23">
        <v>-658060</v>
      </c>
      <c r="G22" s="26">
        <f>D22+E22+F22-E21-F21</f>
        <v>14431</v>
      </c>
      <c r="H22" s="132">
        <v>300</v>
      </c>
      <c r="I22" s="63">
        <v>-7350</v>
      </c>
      <c r="J22" s="63">
        <v>800</v>
      </c>
      <c r="K22" s="170">
        <f t="shared" si="8"/>
        <v>-6250</v>
      </c>
      <c r="L22" s="171">
        <v>17</v>
      </c>
      <c r="M22" s="153"/>
      <c r="N22" s="149">
        <f>L22+K22+G22+M22</f>
        <v>8198</v>
      </c>
      <c r="O22" s="67">
        <f t="shared" si="2"/>
        <v>3789457.8875000011</v>
      </c>
      <c r="P22" s="7">
        <f t="shared" si="11"/>
        <v>60631326.200000018</v>
      </c>
      <c r="Q22" s="164">
        <f>Q21+N22</f>
        <v>3982011.45</v>
      </c>
      <c r="R22" s="29">
        <f t="shared" si="3"/>
        <v>2447.9400771399369</v>
      </c>
      <c r="S22" s="5">
        <f>SUM($Q$7:$Q22)/T22</f>
        <v>3950852.8875000011</v>
      </c>
      <c r="T22" s="18">
        <v>16</v>
      </c>
      <c r="U22" s="4"/>
      <c r="V22" s="131"/>
      <c r="W22" s="105">
        <v>-2514445</v>
      </c>
      <c r="X22" s="167"/>
      <c r="Y22" s="156">
        <f>Y21-K22-L22</f>
        <v>-2514445</v>
      </c>
      <c r="Z22" s="217"/>
      <c r="AA22" s="92"/>
    </row>
    <row r="23" spans="2:31">
      <c r="B23" s="116">
        <v>44785</v>
      </c>
      <c r="C23" s="14"/>
      <c r="D23" s="87"/>
      <c r="E23" s="87">
        <v>1</v>
      </c>
      <c r="F23" s="23">
        <v>-665473</v>
      </c>
      <c r="G23" s="26">
        <f>D23+E23+F23-E22-F22</f>
        <v>-7413</v>
      </c>
      <c r="H23" s="132">
        <v>300</v>
      </c>
      <c r="I23" s="63">
        <v>-700</v>
      </c>
      <c r="J23" s="63">
        <v>800</v>
      </c>
      <c r="K23" s="170">
        <f t="shared" si="8"/>
        <v>400</v>
      </c>
      <c r="L23" s="171">
        <v>13</v>
      </c>
      <c r="M23" s="153"/>
      <c r="N23" s="149">
        <f>L23+K23+G23+M23</f>
        <v>-7000</v>
      </c>
      <c r="O23" s="67">
        <f t="shared" si="2"/>
        <v>3790878.9794117659</v>
      </c>
      <c r="P23" s="7">
        <f t="shared" si="11"/>
        <v>64444942.650000021</v>
      </c>
      <c r="Q23" s="164">
        <f>Q22+N23</f>
        <v>3975011.45</v>
      </c>
      <c r="R23" s="29">
        <f t="shared" si="3"/>
        <v>2448.8205826771373</v>
      </c>
      <c r="S23" s="5">
        <f>SUM($Q$7:$Q23)/T23</f>
        <v>3952273.9794117659</v>
      </c>
      <c r="T23" s="18">
        <v>17</v>
      </c>
      <c r="U23" s="27"/>
      <c r="V23" s="135"/>
      <c r="W23" s="105">
        <v>-2514858</v>
      </c>
      <c r="X23" s="167"/>
      <c r="Y23" s="156">
        <f>Y22-K23-L23</f>
        <v>-2514858</v>
      </c>
      <c r="Z23" s="217"/>
      <c r="AA23" s="92"/>
    </row>
    <row r="24" spans="2:31">
      <c r="B24" s="116">
        <v>44786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3792142.1722222236</v>
      </c>
      <c r="P24" s="7">
        <f t="shared" si="11"/>
        <v>68258559.100000024</v>
      </c>
      <c r="Q24" s="164">
        <f t="shared" ref="Q24:Q25" si="12">Q23+N24</f>
        <v>3975011.45</v>
      </c>
      <c r="R24" s="29">
        <f t="shared" si="3"/>
        <v>2449.6032542657604</v>
      </c>
      <c r="S24" s="5">
        <f>SUM($Q$7:$Q24)/T24</f>
        <v>3953537.1722222236</v>
      </c>
      <c r="T24" s="18">
        <v>18</v>
      </c>
      <c r="U24" s="4"/>
      <c r="V24" s="135"/>
      <c r="W24" s="105">
        <v>-2514858</v>
      </c>
      <c r="X24" s="167"/>
      <c r="Y24" s="156">
        <f t="shared" si="7"/>
        <v>-2514858</v>
      </c>
      <c r="Z24" s="217"/>
      <c r="AA24" s="92"/>
      <c r="AD24" s="1"/>
      <c r="AE24" s="1"/>
    </row>
    <row r="25" spans="2:31">
      <c r="B25" s="116">
        <v>44787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3793272.3973684222</v>
      </c>
      <c r="P25" s="7">
        <f t="shared" si="11"/>
        <v>72072175.550000027</v>
      </c>
      <c r="Q25" s="164">
        <f t="shared" si="12"/>
        <v>3975011.45</v>
      </c>
      <c r="R25" s="29">
        <f t="shared" si="3"/>
        <v>2450.3035393713699</v>
      </c>
      <c r="S25" s="5">
        <f>SUM($Q$7:$Q25)/T25</f>
        <v>3954667.3973684222</v>
      </c>
      <c r="T25" s="18">
        <v>19</v>
      </c>
      <c r="U25" s="4"/>
      <c r="V25" s="131"/>
      <c r="W25" s="105">
        <v>-2514858</v>
      </c>
      <c r="X25" s="167"/>
      <c r="Y25" s="156">
        <f t="shared" si="7"/>
        <v>-2514858</v>
      </c>
      <c r="Z25" s="217"/>
      <c r="AA25" s="92"/>
      <c r="AD25" s="1"/>
      <c r="AE25" s="1"/>
    </row>
    <row r="26" spans="2:31">
      <c r="B26" s="116">
        <v>44788</v>
      </c>
      <c r="C26" s="14"/>
      <c r="D26" s="87"/>
      <c r="E26" s="87">
        <v>0</v>
      </c>
      <c r="F26" s="23">
        <v>-605831</v>
      </c>
      <c r="G26" s="26">
        <f>D26+E26+F26-E23-F23</f>
        <v>59641</v>
      </c>
      <c r="H26" s="132">
        <v>300</v>
      </c>
      <c r="I26" s="63">
        <v>-8200</v>
      </c>
      <c r="J26" s="63">
        <v>1600</v>
      </c>
      <c r="K26" s="170">
        <f t="shared" si="8"/>
        <v>-6300</v>
      </c>
      <c r="L26" s="171">
        <v>26</v>
      </c>
      <c r="M26" s="153"/>
      <c r="N26" s="149">
        <f t="shared" si="9"/>
        <v>53367</v>
      </c>
      <c r="O26" s="67">
        <f t="shared" si="2"/>
        <v>3796957.9500000016</v>
      </c>
      <c r="P26" s="7">
        <f t="shared" si="11"/>
        <v>75939159.00000003</v>
      </c>
      <c r="Q26" s="164">
        <f>Q25+N26</f>
        <v>4028378.45</v>
      </c>
      <c r="R26" s="29">
        <f t="shared" si="3"/>
        <v>2452.5858607763571</v>
      </c>
      <c r="S26" s="5">
        <f>SUM($Q$7:$Q26)/T26-2</f>
        <v>3958350.9500000016</v>
      </c>
      <c r="T26" s="18">
        <v>20</v>
      </c>
      <c r="U26" s="138">
        <f>B26</f>
        <v>44788</v>
      </c>
      <c r="V26" s="131">
        <v>2439.1</v>
      </c>
      <c r="W26" s="105">
        <v>-2508584</v>
      </c>
      <c r="X26" s="167">
        <f>AVERAGE(W26:W34)</f>
        <v>-2478264.777777778</v>
      </c>
      <c r="Y26" s="156">
        <f>Y25-K26-L26</f>
        <v>-2508584</v>
      </c>
      <c r="Z26" s="217">
        <f>AVERAGE(Y26:Y34)</f>
        <v>-2478264.777777778</v>
      </c>
      <c r="AC26" s="92"/>
      <c r="AD26" s="1"/>
      <c r="AE26" s="1"/>
    </row>
    <row r="27" spans="2:31">
      <c r="B27" s="116">
        <v>44789</v>
      </c>
      <c r="C27" s="14" t="str">
        <f t="shared" si="0"/>
        <v/>
      </c>
      <c r="D27" s="87"/>
      <c r="E27" s="87">
        <v>57</v>
      </c>
      <c r="F27" s="23">
        <v>-647776</v>
      </c>
      <c r="G27" s="26">
        <f>D27+E27+F27-E26-F26</f>
        <v>-41888</v>
      </c>
      <c r="H27" s="132">
        <v>2800</v>
      </c>
      <c r="I27" s="63">
        <v>-11900</v>
      </c>
      <c r="J27" s="63">
        <v>1600</v>
      </c>
      <c r="K27" s="170">
        <f t="shared" si="8"/>
        <v>-7500</v>
      </c>
      <c r="L27" s="171">
        <v>-4</v>
      </c>
      <c r="M27" s="153"/>
      <c r="N27" s="149">
        <f>L27+K27+G27+M27</f>
        <v>-49392</v>
      </c>
      <c r="O27" s="67">
        <f t="shared" si="2"/>
        <v>3797940.5928571443</v>
      </c>
      <c r="P27" s="7">
        <f t="shared" si="11"/>
        <v>79756752.450000033</v>
      </c>
      <c r="Q27" s="164">
        <f>Q26+N27+2</f>
        <v>3978988.45</v>
      </c>
      <c r="R27" s="29">
        <f t="shared" si="3"/>
        <v>2453.1959434041605</v>
      </c>
      <c r="S27" s="5">
        <f>SUM($Q$7:$Q27)/T27</f>
        <v>3959335.5928571443</v>
      </c>
      <c r="T27" s="18">
        <v>21</v>
      </c>
      <c r="U27" s="138">
        <f>B28+6</f>
        <v>44796</v>
      </c>
      <c r="V27" s="159"/>
      <c r="W27" s="105">
        <v>-2501081</v>
      </c>
      <c r="X27" s="167"/>
      <c r="Y27" s="156">
        <f>Y26-K27-L27-1</f>
        <v>-2501081</v>
      </c>
      <c r="Z27" s="217"/>
      <c r="AA27" s="92"/>
      <c r="AD27" s="1"/>
      <c r="AE27" s="1"/>
    </row>
    <row r="28" spans="2:31">
      <c r="B28" s="116">
        <v>44790</v>
      </c>
      <c r="C28" s="14" t="str">
        <f t="shared" si="0"/>
        <v/>
      </c>
      <c r="D28" s="87">
        <f>-907+823</f>
        <v>-84</v>
      </c>
      <c r="E28" s="87">
        <v>0</v>
      </c>
      <c r="F28" s="23">
        <v>-652303</v>
      </c>
      <c r="G28" s="26">
        <f>D28+E28+F28-E27-F27</f>
        <v>-4668</v>
      </c>
      <c r="H28" s="132">
        <v>300</v>
      </c>
      <c r="I28" s="63">
        <v>-14750</v>
      </c>
      <c r="J28" s="63">
        <v>1600</v>
      </c>
      <c r="K28" s="170">
        <f t="shared" si="8"/>
        <v>-12850</v>
      </c>
      <c r="L28" s="171">
        <v>-26</v>
      </c>
      <c r="M28" s="153"/>
      <c r="N28" s="149">
        <f>L28+K28+G28+M28</f>
        <v>-17544</v>
      </c>
      <c r="O28" s="67">
        <f t="shared" si="2"/>
        <v>3798036.4045454562</v>
      </c>
      <c r="P28" s="7">
        <f t="shared" si="11"/>
        <v>83556800.900000036</v>
      </c>
      <c r="Q28" s="164">
        <f>Q27+N28-1</f>
        <v>3961443.45</v>
      </c>
      <c r="R28" s="29">
        <f t="shared" si="3"/>
        <v>2453.25468852533</v>
      </c>
      <c r="S28" s="5">
        <f>SUM($Q$7:$Q28)/T28-1</f>
        <v>3959430.4045454562</v>
      </c>
      <c r="T28" s="18">
        <v>22</v>
      </c>
      <c r="U28" s="4"/>
      <c r="V28" s="131"/>
      <c r="W28" s="105">
        <v>-2488204</v>
      </c>
      <c r="X28" s="167"/>
      <c r="Y28" s="156">
        <f>Y27-K28-L28+1</f>
        <v>-2488204</v>
      </c>
      <c r="Z28" s="217"/>
      <c r="AA28" s="92"/>
      <c r="AD28" s="1"/>
      <c r="AE28" s="1"/>
    </row>
    <row r="29" spans="2:31">
      <c r="B29" s="116">
        <v>44791</v>
      </c>
      <c r="C29" s="14" t="str">
        <f t="shared" si="0"/>
        <v/>
      </c>
      <c r="D29" s="87"/>
      <c r="E29" s="87">
        <v>0</v>
      </c>
      <c r="F29" s="23">
        <v>-656594</v>
      </c>
      <c r="G29" s="26">
        <f>D29+E29+F29-E28-F28</f>
        <v>-4291</v>
      </c>
      <c r="H29" s="132">
        <v>300</v>
      </c>
      <c r="I29" s="63">
        <v>-23000</v>
      </c>
      <c r="J29" s="63">
        <v>1500</v>
      </c>
      <c r="K29" s="170">
        <f t="shared" si="8"/>
        <v>-21200</v>
      </c>
      <c r="L29" s="171">
        <v>31</v>
      </c>
      <c r="M29" s="153"/>
      <c r="N29" s="149">
        <f>L29+K29+G29+M29</f>
        <v>-25460</v>
      </c>
      <c r="O29" s="67">
        <f t="shared" si="2"/>
        <v>3797016.8847826105</v>
      </c>
      <c r="P29" s="7">
        <f t="shared" si="11"/>
        <v>87331388.350000039</v>
      </c>
      <c r="Q29" s="164">
        <f>Q28+N29-1</f>
        <v>3935982.45</v>
      </c>
      <c r="R29" s="29">
        <f t="shared" si="3"/>
        <v>2452.6236158385395</v>
      </c>
      <c r="S29" s="5">
        <f>SUM($Q$7:$Q29)/T29</f>
        <v>3958411.8847826105</v>
      </c>
      <c r="T29" s="18">
        <v>23</v>
      </c>
      <c r="U29" s="4"/>
      <c r="V29" s="131"/>
      <c r="W29" s="105">
        <v>-2467035</v>
      </c>
      <c r="X29" s="167"/>
      <c r="Y29" s="156">
        <f>Y28-K29-L29</f>
        <v>-2467035</v>
      </c>
      <c r="Z29" s="217"/>
      <c r="AA29" s="92"/>
      <c r="AD29" s="1"/>
      <c r="AE29" s="1"/>
    </row>
    <row r="30" spans="2:31">
      <c r="B30" s="116">
        <v>44792</v>
      </c>
      <c r="C30" s="14" t="str">
        <f t="shared" si="0"/>
        <v/>
      </c>
      <c r="D30" s="87"/>
      <c r="E30" s="87">
        <v>0</v>
      </c>
      <c r="F30" s="23">
        <v>-655637</v>
      </c>
      <c r="G30" s="26">
        <f>D30+E30+F30-E29-F29</f>
        <v>957</v>
      </c>
      <c r="H30" s="132">
        <v>300</v>
      </c>
      <c r="I30" s="25">
        <v>2300</v>
      </c>
      <c r="J30" s="25">
        <v>1500</v>
      </c>
      <c r="K30" s="170">
        <f t="shared" si="8"/>
        <v>4100</v>
      </c>
      <c r="L30" s="171">
        <v>4</v>
      </c>
      <c r="M30" s="153"/>
      <c r="N30" s="149">
        <f>L30+K30+G30+M30</f>
        <v>5061</v>
      </c>
      <c r="O30" s="67">
        <f t="shared" si="2"/>
        <v>3796293.2000000016</v>
      </c>
      <c r="P30" s="7">
        <f t="shared" si="11"/>
        <v>91111036.800000042</v>
      </c>
      <c r="Q30" s="164">
        <f>Q29+N30</f>
        <v>3941043.45</v>
      </c>
      <c r="R30" s="29">
        <f t="shared" si="3"/>
        <v>2452.1789398680266</v>
      </c>
      <c r="S30" s="5">
        <f>SUM($Q$7:$Q30)/T30+6</f>
        <v>3957694.2000000016</v>
      </c>
      <c r="T30" s="18">
        <v>24</v>
      </c>
      <c r="U30" s="4"/>
      <c r="V30" s="131"/>
      <c r="W30" s="105">
        <v>-2471139</v>
      </c>
      <c r="X30" s="167"/>
      <c r="Y30" s="156">
        <f>Y29-K30-L30</f>
        <v>-2471139</v>
      </c>
      <c r="Z30" s="217"/>
      <c r="AA30" s="92"/>
      <c r="AD30" s="1"/>
      <c r="AE30" s="1"/>
    </row>
    <row r="31" spans="2:31">
      <c r="B31" s="116">
        <v>44793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3795627.410000002</v>
      </c>
      <c r="P31" s="7">
        <f t="shared" si="11"/>
        <v>94890685.250000045</v>
      </c>
      <c r="Q31" s="164">
        <f t="shared" ref="Q31:Q39" si="13">Q30+N31</f>
        <v>3941043.45</v>
      </c>
      <c r="R31" s="29">
        <f t="shared" si="3"/>
        <v>2451.7639394033285</v>
      </c>
      <c r="S31" s="5">
        <f>SUM($Q$7:$Q31)/T31+2</f>
        <v>3957024.410000002</v>
      </c>
      <c r="T31" s="18">
        <v>25</v>
      </c>
      <c r="U31" s="4"/>
      <c r="V31" s="137"/>
      <c r="W31" s="105">
        <v>-2471139</v>
      </c>
      <c r="X31" s="167"/>
      <c r="Y31" s="156">
        <f t="shared" si="7"/>
        <v>-2471139</v>
      </c>
      <c r="Z31" s="217"/>
      <c r="AA31" s="92"/>
      <c r="AB31" s="92"/>
      <c r="AD31" s="1"/>
      <c r="AE31" s="1"/>
    </row>
    <row r="32" spans="2:31">
      <c r="B32" s="116">
        <v>44794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3795012.8346153866</v>
      </c>
      <c r="P32" s="7">
        <f t="shared" si="11"/>
        <v>98670333.700000048</v>
      </c>
      <c r="Q32" s="164">
        <f t="shared" si="13"/>
        <v>3941043.45</v>
      </c>
      <c r="R32" s="29">
        <f t="shared" si="3"/>
        <v>2451.3781930142736</v>
      </c>
      <c r="S32" s="5">
        <f>SUM($Q$7:$Q32)/T32-6</f>
        <v>3956401.8346153866</v>
      </c>
      <c r="T32" s="18">
        <v>26</v>
      </c>
      <c r="U32" s="27"/>
      <c r="V32" s="137"/>
      <c r="W32" s="105">
        <v>-2471139</v>
      </c>
      <c r="X32" s="167"/>
      <c r="Y32" s="156">
        <f t="shared" si="7"/>
        <v>-2471139</v>
      </c>
      <c r="Z32" s="217"/>
      <c r="AD32" s="1"/>
      <c r="AE32" s="1"/>
    </row>
    <row r="33" spans="2:31">
      <c r="B33" s="116">
        <v>44795</v>
      </c>
      <c r="C33" s="14" t="str">
        <f t="shared" si="0"/>
        <v/>
      </c>
      <c r="D33" s="87"/>
      <c r="E33" s="87">
        <v>0</v>
      </c>
      <c r="F33" s="23">
        <v>-651860</v>
      </c>
      <c r="G33" s="26">
        <f>D33+E33+F33-E30-F30</f>
        <v>3777</v>
      </c>
      <c r="H33" s="132">
        <v>300</v>
      </c>
      <c r="I33" s="25">
        <v>-17200</v>
      </c>
      <c r="J33" s="25">
        <v>1200</v>
      </c>
      <c r="K33" s="170">
        <f t="shared" si="8"/>
        <v>-15700</v>
      </c>
      <c r="L33" s="171">
        <v>-43</v>
      </c>
      <c r="M33" s="153"/>
      <c r="N33" s="149">
        <f t="shared" si="9"/>
        <v>-11966</v>
      </c>
      <c r="O33" s="67">
        <f t="shared" si="2"/>
        <v>3794000.5981481499</v>
      </c>
      <c r="P33" s="7">
        <f t="shared" si="11"/>
        <v>102438016.15000005</v>
      </c>
      <c r="Q33" s="164">
        <f>Q32+N33</f>
        <v>3929077.45</v>
      </c>
      <c r="R33" s="29">
        <f t="shared" si="3"/>
        <v>2450.7541114335327</v>
      </c>
      <c r="S33" s="5">
        <f>SUM($Q$7:$Q33)/T33-1</f>
        <v>3955394.5981481499</v>
      </c>
      <c r="T33" s="18">
        <v>27</v>
      </c>
      <c r="U33" s="138">
        <f>B33</f>
        <v>44795</v>
      </c>
      <c r="V33" s="131">
        <v>2485</v>
      </c>
      <c r="W33" s="105">
        <v>-2455396</v>
      </c>
      <c r="X33" s="167">
        <f>AVERAGE(W33:W41)</f>
        <v>-2450094.5555555555</v>
      </c>
      <c r="Y33" s="156">
        <f>Y32-K33-L33</f>
        <v>-2455396</v>
      </c>
      <c r="Z33" s="217">
        <f>AVERAGE(Y33:Y41)</f>
        <v>-2450094.5555555555</v>
      </c>
      <c r="AD33" s="1"/>
      <c r="AE33" s="1"/>
    </row>
    <row r="34" spans="2:31">
      <c r="B34" s="116">
        <v>44796</v>
      </c>
      <c r="C34" s="14" t="str">
        <f t="shared" si="0"/>
        <v/>
      </c>
      <c r="D34" s="87"/>
      <c r="E34" s="87">
        <v>0</v>
      </c>
      <c r="F34" s="23">
        <v>-641891</v>
      </c>
      <c r="G34" s="26">
        <f>D34+E34+F34-E33-F33</f>
        <v>9969</v>
      </c>
      <c r="H34" s="132">
        <v>2300</v>
      </c>
      <c r="I34" s="25">
        <v>11800</v>
      </c>
      <c r="J34" s="25">
        <v>1200</v>
      </c>
      <c r="K34" s="170">
        <f t="shared" si="8"/>
        <v>15300</v>
      </c>
      <c r="L34" s="171">
        <v>-30</v>
      </c>
      <c r="M34" s="153"/>
      <c r="N34" s="149">
        <f>L34+K34+G34+M34</f>
        <v>25239</v>
      </c>
      <c r="O34" s="67">
        <f t="shared" si="2"/>
        <v>3793962.0928571448</v>
      </c>
      <c r="P34" s="7">
        <f t="shared" si="11"/>
        <v>106230938.60000005</v>
      </c>
      <c r="Q34" s="164">
        <f>Q33+N34+1</f>
        <v>3954317.45</v>
      </c>
      <c r="R34" s="29">
        <f t="shared" si="3"/>
        <v>2450.7308732347001</v>
      </c>
      <c r="S34" s="5">
        <f>SUM($Q$7:$Q34)/T34</f>
        <v>3955357.0928571448</v>
      </c>
      <c r="T34" s="18">
        <v>28</v>
      </c>
      <c r="U34" s="138">
        <f>B33+8</f>
        <v>44803</v>
      </c>
      <c r="V34" s="131"/>
      <c r="W34" s="105">
        <v>-2470666</v>
      </c>
      <c r="X34" s="167"/>
      <c r="Y34" s="156">
        <f>Y33-K34-L34</f>
        <v>-2470666</v>
      </c>
      <c r="Z34" s="217"/>
      <c r="AA34" s="92"/>
      <c r="AD34" s="1"/>
      <c r="AE34" s="1"/>
    </row>
    <row r="35" spans="2:31">
      <c r="B35" s="116">
        <v>44797</v>
      </c>
      <c r="C35" s="14" t="str">
        <f t="shared" si="0"/>
        <v/>
      </c>
      <c r="D35" s="87">
        <f>-823+744</f>
        <v>-79</v>
      </c>
      <c r="E35" s="87">
        <v>0</v>
      </c>
      <c r="F35" s="23">
        <v>-643109</v>
      </c>
      <c r="G35" s="26">
        <f>D35+E35+F35-E34-F34</f>
        <v>-1297</v>
      </c>
      <c r="H35" s="132">
        <v>-14900</v>
      </c>
      <c r="I35" s="25">
        <v>7700</v>
      </c>
      <c r="J35" s="25">
        <v>1200</v>
      </c>
      <c r="K35" s="170">
        <f t="shared" si="8"/>
        <v>-6000</v>
      </c>
      <c r="L35" s="171">
        <v>48</v>
      </c>
      <c r="M35" s="153"/>
      <c r="N35" s="149">
        <f t="shared" si="9"/>
        <v>-7249</v>
      </c>
      <c r="O35" s="67">
        <f t="shared" si="2"/>
        <v>3793676.3465517261</v>
      </c>
      <c r="P35" s="7">
        <f t="shared" si="11"/>
        <v>110016614.05000006</v>
      </c>
      <c r="Q35" s="164">
        <f>Q34+N35+2</f>
        <v>3947070.45</v>
      </c>
      <c r="R35" s="29">
        <f t="shared" si="3"/>
        <v>2450.5538254293665</v>
      </c>
      <c r="S35" s="5">
        <f>SUM($Q$7:$Q35)/T35</f>
        <v>3955071.3465517261</v>
      </c>
      <c r="T35" s="18">
        <v>29</v>
      </c>
      <c r="U35" s="4"/>
      <c r="V35" s="131"/>
      <c r="W35" s="105">
        <v>-2464715</v>
      </c>
      <c r="X35" s="167"/>
      <c r="Y35" s="156">
        <f>Y34-K35-L35-1</f>
        <v>-2464715</v>
      </c>
      <c r="Z35" s="217"/>
      <c r="AA35" s="92"/>
      <c r="AD35" s="1"/>
      <c r="AE35" s="1"/>
    </row>
    <row r="36" spans="2:31">
      <c r="B36" s="116">
        <v>44798</v>
      </c>
      <c r="C36" s="14" t="str">
        <f t="shared" si="0"/>
        <v/>
      </c>
      <c r="D36" s="87"/>
      <c r="E36" s="87">
        <v>0</v>
      </c>
      <c r="F36" s="23">
        <v>-648232</v>
      </c>
      <c r="G36" s="26">
        <f>D36+E36+F36-E35-F35</f>
        <v>-5123</v>
      </c>
      <c r="H36" s="132">
        <v>-11700</v>
      </c>
      <c r="I36" s="25">
        <v>-4700</v>
      </c>
      <c r="J36" s="25">
        <v>1200</v>
      </c>
      <c r="K36" s="170">
        <f t="shared" si="8"/>
        <v>-15200</v>
      </c>
      <c r="L36" s="171">
        <v>32</v>
      </c>
      <c r="M36" s="153"/>
      <c r="N36" s="149">
        <f t="shared" si="9"/>
        <v>-20291</v>
      </c>
      <c r="O36" s="67">
        <f t="shared" si="2"/>
        <v>3792733.1500000018</v>
      </c>
      <c r="P36" s="7">
        <f t="shared" si="11"/>
        <v>113781994.50000006</v>
      </c>
      <c r="Q36" s="164">
        <f>Q35+N36-4</f>
        <v>3926775.45</v>
      </c>
      <c r="R36" s="29">
        <f t="shared" si="3"/>
        <v>2449.9545524954315</v>
      </c>
      <c r="S36" s="5">
        <f>SUM($Q$7:$Q36)/T36-24</f>
        <v>3954104.1500000018</v>
      </c>
      <c r="T36" s="18">
        <v>30</v>
      </c>
      <c r="U36" s="4"/>
      <c r="V36" s="136"/>
      <c r="W36" s="105">
        <v>-2449544</v>
      </c>
      <c r="X36" s="167"/>
      <c r="Y36" s="156">
        <f>Y35-K36-L36+3</f>
        <v>-2449544</v>
      </c>
      <c r="Z36" s="217"/>
      <c r="AD36" s="1"/>
      <c r="AE36" s="1"/>
    </row>
    <row r="37" spans="2:31">
      <c r="B37" s="116">
        <v>44799</v>
      </c>
      <c r="C37" s="14"/>
      <c r="D37" s="87"/>
      <c r="E37" s="87">
        <v>1</v>
      </c>
      <c r="F37" s="23">
        <v>-648621</v>
      </c>
      <c r="G37" s="26">
        <f>D37+E37+F37-E36-F36</f>
        <v>-388</v>
      </c>
      <c r="H37" s="132">
        <v>-200</v>
      </c>
      <c r="I37" s="25">
        <v>-5100</v>
      </c>
      <c r="J37" s="25">
        <v>1200</v>
      </c>
      <c r="K37" s="170">
        <f t="shared" si="8"/>
        <v>-4100</v>
      </c>
      <c r="L37" s="171">
        <v>41</v>
      </c>
      <c r="M37" s="153"/>
      <c r="N37" s="149">
        <f t="shared" si="9"/>
        <v>-4447</v>
      </c>
      <c r="O37" s="67">
        <f t="shared" si="2"/>
        <v>3791707.2564516151</v>
      </c>
      <c r="P37" s="7">
        <f t="shared" si="11"/>
        <v>117542924.95000006</v>
      </c>
      <c r="Q37" s="164">
        <f>Q36+N37-3</f>
        <v>3922325.45</v>
      </c>
      <c r="R37" s="29">
        <f t="shared" si="3"/>
        <v>2449.3344009737693</v>
      </c>
      <c r="S37" s="5">
        <f>SUM($Q$7:$Q37)/T37+1</f>
        <v>3953103.2564516151</v>
      </c>
      <c r="T37" s="18">
        <v>31</v>
      </c>
      <c r="U37" s="27"/>
      <c r="V37" s="137"/>
      <c r="W37" s="105">
        <v>-2445483</v>
      </c>
      <c r="X37" s="167"/>
      <c r="Y37" s="156">
        <f>Y36-K37-L37+2</f>
        <v>-2445483</v>
      </c>
      <c r="Z37" s="217"/>
      <c r="AA37" s="92"/>
      <c r="AD37" s="1"/>
      <c r="AE37" s="1"/>
    </row>
    <row r="38" spans="2:31">
      <c r="B38" s="116">
        <v>44800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3790745.481250002</v>
      </c>
      <c r="P38" s="7">
        <f t="shared" si="11"/>
        <v>121303855.40000007</v>
      </c>
      <c r="Q38" s="164">
        <f t="shared" si="13"/>
        <v>3922325.45</v>
      </c>
      <c r="R38" s="29">
        <f t="shared" si="3"/>
        <v>2448.7378674989945</v>
      </c>
      <c r="S38" s="5">
        <f>SUM($Q$7:$Q38)/T38</f>
        <v>3952140.481250002</v>
      </c>
      <c r="T38" s="18">
        <v>32</v>
      </c>
      <c r="U38" s="27"/>
      <c r="V38" s="137"/>
      <c r="W38" s="105">
        <v>-2445483</v>
      </c>
      <c r="X38" s="167"/>
      <c r="Y38" s="156">
        <f t="shared" si="7"/>
        <v>-2445483</v>
      </c>
      <c r="Z38" s="217"/>
      <c r="AD38" s="1"/>
      <c r="AE38" s="1"/>
    </row>
    <row r="39" spans="2:31">
      <c r="B39" s="116">
        <v>44801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3789841.9954545475</v>
      </c>
      <c r="P39" s="7">
        <f t="shared" si="11"/>
        <v>125064785.85000007</v>
      </c>
      <c r="Q39" s="164">
        <f t="shared" si="13"/>
        <v>3922325.45</v>
      </c>
      <c r="R39" s="29">
        <f t="shared" si="3"/>
        <v>2448.1793088104018</v>
      </c>
      <c r="S39" s="5">
        <f>SUM($Q$7:$Q39)/T39+2</f>
        <v>3951238.9954545475</v>
      </c>
      <c r="T39" s="18">
        <v>33</v>
      </c>
      <c r="U39" s="27"/>
      <c r="V39" s="137"/>
      <c r="W39" s="105">
        <v>-2445483</v>
      </c>
      <c r="X39" s="167"/>
      <c r="Y39" s="156">
        <f t="shared" si="7"/>
        <v>-2445483</v>
      </c>
      <c r="Z39" s="217"/>
      <c r="AD39" s="1"/>
      <c r="AE39" s="1"/>
    </row>
    <row r="40" spans="2:31">
      <c r="B40" s="116">
        <v>44802</v>
      </c>
      <c r="C40" s="14"/>
      <c r="D40" s="87"/>
      <c r="E40" s="87">
        <v>0</v>
      </c>
      <c r="F40" s="23">
        <v>-648293</v>
      </c>
      <c r="G40" s="26">
        <f>D40+E40+F40-E37-F37</f>
        <v>327</v>
      </c>
      <c r="H40" s="132">
        <v>-3700</v>
      </c>
      <c r="I40" s="25">
        <v>-13900</v>
      </c>
      <c r="J40" s="25">
        <v>500</v>
      </c>
      <c r="K40" s="170">
        <f t="shared" si="8"/>
        <v>-17100</v>
      </c>
      <c r="L40" s="171">
        <v>-13</v>
      </c>
      <c r="M40" s="153"/>
      <c r="N40" s="149">
        <f t="shared" si="9"/>
        <v>-16786</v>
      </c>
      <c r="O40" s="67">
        <f t="shared" si="2"/>
        <v>3788497.9205882372</v>
      </c>
      <c r="P40" s="7">
        <f t="shared" si="11"/>
        <v>128808929.30000007</v>
      </c>
      <c r="Q40" s="164">
        <f>Q39+N40-1</f>
        <v>3905538.45</v>
      </c>
      <c r="R40" s="29">
        <f t="shared" si="3"/>
        <v>2447.3459032734827</v>
      </c>
      <c r="S40" s="5">
        <f>SUM($Q$7:$Q40)/T40+1</f>
        <v>3949893.9205882372</v>
      </c>
      <c r="T40" s="18">
        <v>34</v>
      </c>
      <c r="U40" s="138">
        <f>B40</f>
        <v>44802</v>
      </c>
      <c r="V40" s="131">
        <v>2429.5</v>
      </c>
      <c r="W40" s="105">
        <v>-2428369</v>
      </c>
      <c r="X40" s="167">
        <f>AVERAGE(W40:W48)</f>
        <v>-2532838</v>
      </c>
      <c r="Y40" s="156">
        <f>Y39-K40-L40+1</f>
        <v>-2428369</v>
      </c>
      <c r="Z40" s="217">
        <f>AVERAGE(Y40:Y48)</f>
        <v>-2532838</v>
      </c>
      <c r="AD40" s="1"/>
      <c r="AE40" s="1"/>
    </row>
    <row r="41" spans="2:31">
      <c r="B41" s="116">
        <v>44803</v>
      </c>
      <c r="C41" s="14" t="str">
        <f t="shared" si="0"/>
        <v/>
      </c>
      <c r="D41" s="87"/>
      <c r="E41" s="87">
        <v>0</v>
      </c>
      <c r="F41" s="23">
        <v>-659557</v>
      </c>
      <c r="G41" s="26">
        <f>D41+E41+F41-E40-F40</f>
        <v>-11264</v>
      </c>
      <c r="H41" s="132">
        <v>300</v>
      </c>
      <c r="I41" s="25">
        <v>16500</v>
      </c>
      <c r="J41" s="25">
        <v>500</v>
      </c>
      <c r="K41" s="170">
        <f t="shared" si="8"/>
        <v>17300</v>
      </c>
      <c r="L41" s="171">
        <v>44</v>
      </c>
      <c r="M41" s="153"/>
      <c r="N41" s="149">
        <f t="shared" si="9"/>
        <v>6080</v>
      </c>
      <c r="O41" s="67">
        <f t="shared" si="2"/>
        <v>3787404.3357142881</v>
      </c>
      <c r="P41" s="7">
        <f t="shared" si="11"/>
        <v>132559151.75000007</v>
      </c>
      <c r="Q41" s="164">
        <f>Q40+N41-1</f>
        <v>3911617.45</v>
      </c>
      <c r="R41" s="29">
        <f t="shared" si="3"/>
        <v>2446.6683204029168</v>
      </c>
      <c r="S41" s="5">
        <f>SUM($Q$7:$Q41)/T41+1</f>
        <v>3948800.3357142876</v>
      </c>
      <c r="T41" s="18">
        <v>35</v>
      </c>
      <c r="U41" s="138">
        <f>B40+8</f>
        <v>44810</v>
      </c>
      <c r="V41" s="137"/>
      <c r="W41" s="105">
        <v>-2445712</v>
      </c>
      <c r="X41" s="167"/>
      <c r="Y41" s="156">
        <f>Y40-K41-L41+1</f>
        <v>-2445712</v>
      </c>
      <c r="Z41" s="217"/>
      <c r="AD41" s="1"/>
      <c r="AE41" s="1"/>
    </row>
    <row r="42" spans="2:31">
      <c r="B42" s="116">
        <v>44804</v>
      </c>
      <c r="C42" s="14" t="str">
        <f t="shared" si="0"/>
        <v/>
      </c>
      <c r="D42" s="87">
        <f>-744+3869</f>
        <v>3125</v>
      </c>
      <c r="E42" s="87">
        <v>1</v>
      </c>
      <c r="F42" s="23">
        <v>-747309</v>
      </c>
      <c r="G42" s="26">
        <f>D42+E42+F42-E41-F41</f>
        <v>-84626</v>
      </c>
      <c r="H42" s="132">
        <v>300</v>
      </c>
      <c r="I42" s="25">
        <v>36400</v>
      </c>
      <c r="J42" s="25">
        <v>500</v>
      </c>
      <c r="K42" s="170">
        <f t="shared" si="8"/>
        <v>37200</v>
      </c>
      <c r="L42" s="171">
        <v>-46</v>
      </c>
      <c r="M42" s="153"/>
      <c r="N42" s="149">
        <f t="shared" si="9"/>
        <v>-47472</v>
      </c>
      <c r="O42" s="67">
        <f t="shared" si="2"/>
        <v>3785052.7833333355</v>
      </c>
      <c r="P42" s="7">
        <f t="shared" si="11"/>
        <v>136261900.20000008</v>
      </c>
      <c r="Q42" s="164">
        <f>Q41+N42-2</f>
        <v>3864143.45</v>
      </c>
      <c r="R42" s="29">
        <f t="shared" si="3"/>
        <v>2445.2113035306761</v>
      </c>
      <c r="S42" s="5">
        <f>SUM($Q$7:$Q42)/T42+1</f>
        <v>3946448.7833333346</v>
      </c>
      <c r="T42" s="18">
        <v>36</v>
      </c>
      <c r="U42" s="138"/>
      <c r="V42" s="137"/>
      <c r="W42" s="105">
        <v>-2482865</v>
      </c>
      <c r="X42" s="167"/>
      <c r="Y42" s="156">
        <f t="shared" ref="Y42:Y48" si="14">Y41-K42-L42+1</f>
        <v>-2482865</v>
      </c>
      <c r="Z42" s="217"/>
      <c r="AD42" s="1"/>
      <c r="AE42" s="1"/>
    </row>
    <row r="43" spans="2:31">
      <c r="B43" s="116">
        <v>44805</v>
      </c>
      <c r="C43" s="14" t="str">
        <f t="shared" si="0"/>
        <v/>
      </c>
      <c r="D43" s="87">
        <f>-44+725</f>
        <v>681</v>
      </c>
      <c r="E43" s="87">
        <v>1</v>
      </c>
      <c r="F43" s="23">
        <v>-666282</v>
      </c>
      <c r="G43" s="26">
        <f>D43+E43+F43-E42-F42</f>
        <v>81708</v>
      </c>
      <c r="H43" s="132">
        <v>10300</v>
      </c>
      <c r="I43" s="25">
        <v>47500</v>
      </c>
      <c r="J43" s="25">
        <v>500</v>
      </c>
      <c r="K43" s="170">
        <f t="shared" si="8"/>
        <v>58300</v>
      </c>
      <c r="L43" s="171">
        <v>1</v>
      </c>
      <c r="M43" s="153"/>
      <c r="N43" s="149">
        <f t="shared" si="9"/>
        <v>140009</v>
      </c>
      <c r="O43" s="67">
        <f t="shared" si="2"/>
        <v>3786612.4500000016</v>
      </c>
      <c r="P43" s="7">
        <f t="shared" si="11"/>
        <v>140104660.65000007</v>
      </c>
      <c r="Q43" s="164">
        <f>Q42+N43+3</f>
        <v>4004155.45</v>
      </c>
      <c r="R43" s="29">
        <f t="shared" si="3"/>
        <v>2446.1188078936775</v>
      </c>
      <c r="S43" s="5">
        <f>SUM($Q$7:$Q43)/T43-94</f>
        <v>3947913.4500000011</v>
      </c>
      <c r="T43" s="18">
        <v>37</v>
      </c>
      <c r="U43" s="138"/>
      <c r="V43" s="137"/>
      <c r="W43" s="105">
        <v>-2541168</v>
      </c>
      <c r="X43" s="167"/>
      <c r="Y43" s="156">
        <f>Y42-K43-L43-2</f>
        <v>-2541168</v>
      </c>
      <c r="Z43" s="217"/>
      <c r="AD43" s="1"/>
      <c r="AE43" s="1"/>
    </row>
    <row r="44" spans="2:31">
      <c r="B44" s="116">
        <v>44806</v>
      </c>
      <c r="C44" s="14" t="str">
        <f t="shared" si="0"/>
        <v/>
      </c>
      <c r="D44" s="87"/>
      <c r="E44" s="87">
        <v>1</v>
      </c>
      <c r="F44" s="23">
        <v>-670732</v>
      </c>
      <c r="G44" s="26">
        <f>D44+E44+F44-E43-F43</f>
        <v>-4450</v>
      </c>
      <c r="H44" s="132">
        <v>300</v>
      </c>
      <c r="I44" s="25">
        <v>34700</v>
      </c>
      <c r="J44" s="25">
        <v>500</v>
      </c>
      <c r="K44" s="170">
        <f t="shared" si="8"/>
        <v>35500</v>
      </c>
      <c r="L44" s="171">
        <v>-47</v>
      </c>
      <c r="M44" s="153"/>
      <c r="N44" s="149">
        <f t="shared" si="9"/>
        <v>31003</v>
      </c>
      <c r="O44" s="67">
        <f t="shared" si="2"/>
        <v>3788905.871052633</v>
      </c>
      <c r="P44" s="7">
        <f t="shared" si="11"/>
        <v>143978423.10000005</v>
      </c>
      <c r="Q44" s="164">
        <f>Q43+N44-1</f>
        <v>4035157.45</v>
      </c>
      <c r="R44" s="29">
        <f t="shared" si="3"/>
        <v>2447.5986685167645</v>
      </c>
      <c r="S44" s="5">
        <f>SUM($Q$7:$Q44)/T44+1</f>
        <v>3950301.8710526321</v>
      </c>
      <c r="T44" s="18">
        <v>38</v>
      </c>
      <c r="U44" s="138"/>
      <c r="V44" s="137"/>
      <c r="W44" s="105">
        <v>-2576620</v>
      </c>
      <c r="X44" s="167"/>
      <c r="Y44" s="156">
        <f>Y43-K44-L44+1</f>
        <v>-2576620</v>
      </c>
      <c r="Z44" s="217"/>
      <c r="AD44" s="1"/>
      <c r="AE44" s="1"/>
    </row>
    <row r="45" spans="2:31">
      <c r="B45" s="116">
        <v>44807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3791081.6807692316</v>
      </c>
      <c r="P45" s="7">
        <f t="shared" si="11"/>
        <v>147852185.55000004</v>
      </c>
      <c r="Q45" s="164">
        <f t="shared" ref="Q45:Q46" si="15">Q44+N45</f>
        <v>4035157.45</v>
      </c>
      <c r="R45" s="29">
        <f t="shared" si="3"/>
        <v>2448.9467956065746</v>
      </c>
      <c r="S45" s="5">
        <f>SUM($Q$7:$Q45)/T45+1</f>
        <v>3952477.6807692312</v>
      </c>
      <c r="T45" s="18">
        <v>39</v>
      </c>
      <c r="U45" s="138"/>
      <c r="V45" s="137"/>
      <c r="W45" s="105">
        <v>-2576620</v>
      </c>
      <c r="X45" s="167"/>
      <c r="Y45" s="156">
        <f>Y44-K45-L45</f>
        <v>-2576620</v>
      </c>
      <c r="Z45" s="217"/>
      <c r="AD45" s="1"/>
      <c r="AE45" s="1"/>
    </row>
    <row r="46" spans="2:31">
      <c r="B46" s="116">
        <v>44808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3793148.7000000007</v>
      </c>
      <c r="P46" s="7">
        <f t="shared" si="11"/>
        <v>151725948.00000003</v>
      </c>
      <c r="Q46" s="164">
        <f t="shared" si="15"/>
        <v>4035157.45</v>
      </c>
      <c r="R46" s="29">
        <f t="shared" si="3"/>
        <v>2450.2275163418944</v>
      </c>
      <c r="S46" s="5">
        <f>SUM($Q$7:$Q46)/T46+1</f>
        <v>3954544.7</v>
      </c>
      <c r="T46" s="18">
        <v>40</v>
      </c>
      <c r="U46" s="138"/>
      <c r="V46" s="137"/>
      <c r="W46" s="105">
        <v>-2576620</v>
      </c>
      <c r="X46" s="167"/>
      <c r="Y46" s="156">
        <f>Y45-K46-L46</f>
        <v>-2576620</v>
      </c>
      <c r="Z46" s="217"/>
      <c r="AD46" s="1"/>
      <c r="AE46" s="1"/>
    </row>
    <row r="47" spans="2:31">
      <c r="B47" s="116">
        <v>44809</v>
      </c>
      <c r="C47" s="14" t="str">
        <f t="shared" si="0"/>
        <v/>
      </c>
      <c r="D47" s="87"/>
      <c r="E47" s="87">
        <v>1</v>
      </c>
      <c r="F47" s="23">
        <v>-672425</v>
      </c>
      <c r="G47" s="26">
        <f>D47+E47+F47-E44-F44</f>
        <v>-1693</v>
      </c>
      <c r="H47" s="132">
        <v>300</v>
      </c>
      <c r="I47" s="25">
        <v>-2200</v>
      </c>
      <c r="J47" s="25">
        <v>400</v>
      </c>
      <c r="K47" s="170">
        <f t="shared" si="8"/>
        <v>-1500</v>
      </c>
      <c r="L47" s="171">
        <v>45</v>
      </c>
      <c r="M47" s="153"/>
      <c r="N47" s="149">
        <f t="shared" si="9"/>
        <v>-3148</v>
      </c>
      <c r="O47" s="67">
        <f t="shared" si="2"/>
        <v>3795038.1085365857</v>
      </c>
      <c r="P47" s="7">
        <f t="shared" si="11"/>
        <v>155596562.45000002</v>
      </c>
      <c r="Q47" s="164">
        <f>Q46+N47</f>
        <v>4032009.45</v>
      </c>
      <c r="R47" s="29">
        <f t="shared" si="3"/>
        <v>2451.3981898674592</v>
      </c>
      <c r="S47" s="5">
        <f>SUM($Q$7:$Q47)/T47+1</f>
        <v>3956434.1085365852</v>
      </c>
      <c r="T47" s="18">
        <v>41</v>
      </c>
      <c r="U47" s="138">
        <f>B47</f>
        <v>44809</v>
      </c>
      <c r="V47" s="137">
        <v>2352.5</v>
      </c>
      <c r="W47" s="105">
        <v>-2575164</v>
      </c>
      <c r="X47" s="167">
        <f>AVERAGE(W47:W55)</f>
        <v>-2648093.222222222</v>
      </c>
      <c r="Y47" s="156">
        <f t="shared" si="14"/>
        <v>-2575164</v>
      </c>
      <c r="Z47" s="217">
        <f>AVERAGE(Y47:Y55)</f>
        <v>-2648092.888888889</v>
      </c>
      <c r="AD47" s="1"/>
      <c r="AE47" s="1"/>
    </row>
    <row r="48" spans="2:31">
      <c r="B48" s="116">
        <v>44810</v>
      </c>
      <c r="C48" s="14" t="str">
        <f t="shared" si="0"/>
        <v/>
      </c>
      <c r="D48" s="87"/>
      <c r="E48" s="87">
        <v>0</v>
      </c>
      <c r="F48" s="23">
        <v>-686679</v>
      </c>
      <c r="G48" s="26">
        <f>D48+E48+F48-E47-F47</f>
        <v>-14255</v>
      </c>
      <c r="H48" s="132">
        <v>300</v>
      </c>
      <c r="I48" s="25">
        <v>16500</v>
      </c>
      <c r="J48" s="25">
        <v>400</v>
      </c>
      <c r="K48" s="170">
        <f t="shared" si="8"/>
        <v>17200</v>
      </c>
      <c r="L48" s="171">
        <v>41</v>
      </c>
      <c r="M48" s="153"/>
      <c r="N48" s="149">
        <f t="shared" si="9"/>
        <v>2986</v>
      </c>
      <c r="O48" s="67">
        <f t="shared" si="2"/>
        <v>3796908.5928571429</v>
      </c>
      <c r="P48" s="7">
        <f t="shared" si="11"/>
        <v>159470160.90000001</v>
      </c>
      <c r="Q48" s="164">
        <f>Q47+N48-2</f>
        <v>4034993.45</v>
      </c>
      <c r="R48" s="29">
        <f t="shared" si="3"/>
        <v>2452.5050917668714</v>
      </c>
      <c r="S48" s="5">
        <f>SUM($Q$7:$Q48)/T48-83</f>
        <v>3958220.5928571424</v>
      </c>
      <c r="T48" s="18">
        <v>42</v>
      </c>
      <c r="U48" s="138">
        <f>B47+8</f>
        <v>44817</v>
      </c>
      <c r="V48" s="137"/>
      <c r="W48" s="105">
        <v>-2592404</v>
      </c>
      <c r="X48" s="167"/>
      <c r="Y48" s="156">
        <f t="shared" si="14"/>
        <v>-2592404</v>
      </c>
      <c r="Z48" s="217"/>
      <c r="AD48" s="1"/>
      <c r="AE48" s="1"/>
    </row>
    <row r="49" spans="2:31">
      <c r="B49" s="116">
        <v>44811</v>
      </c>
      <c r="C49" s="14" t="str">
        <f t="shared" ref="C49:C55" si="16">IF(OR(WEEKDAY(B49)=1,WEEKDAY(B49)=7),"F","")</f>
        <v/>
      </c>
      <c r="D49" s="87">
        <f>-3869+3680</f>
        <v>-189</v>
      </c>
      <c r="E49" s="87">
        <v>0</v>
      </c>
      <c r="F49" s="23">
        <v>-683248</v>
      </c>
      <c r="G49" s="26">
        <f t="shared" ref="G49:G55" si="17">D49+E49+F49-E48-F48</f>
        <v>3242</v>
      </c>
      <c r="H49" s="132">
        <v>300</v>
      </c>
      <c r="I49" s="25">
        <v>16900</v>
      </c>
      <c r="J49" s="25">
        <v>400</v>
      </c>
      <c r="K49" s="170">
        <f t="shared" ref="K49:K55" si="18">+H49+I49+J49</f>
        <v>17600</v>
      </c>
      <c r="L49" s="171">
        <v>24</v>
      </c>
      <c r="M49" s="153"/>
      <c r="N49" s="149">
        <f t="shared" ref="N49:N55" si="19">L49+K49+G49+M49</f>
        <v>20866</v>
      </c>
      <c r="O49" s="67">
        <f t="shared" ref="O49:O55" si="20">P49/T49</f>
        <v>3799177.3104651161</v>
      </c>
      <c r="P49" s="7">
        <f t="shared" si="11"/>
        <v>163364624.34999999</v>
      </c>
      <c r="Q49" s="164">
        <f>Q48+N49-1</f>
        <v>4055858.45</v>
      </c>
      <c r="R49" s="29">
        <f t="shared" si="3"/>
        <v>2453.910784389303</v>
      </c>
      <c r="S49" s="5">
        <f>SUM($Q$7:$Q49)/T49-83</f>
        <v>3960489.3104651156</v>
      </c>
      <c r="T49" s="18">
        <v>43</v>
      </c>
      <c r="U49" s="138"/>
      <c r="V49" s="137"/>
      <c r="W49" s="105">
        <v>-2610027</v>
      </c>
      <c r="X49" s="167"/>
      <c r="Y49" s="156">
        <f t="shared" ref="Y49:Y55" si="21">Y48-K49-L49+1</f>
        <v>-2610027</v>
      </c>
      <c r="Z49" s="217"/>
      <c r="AD49" s="1"/>
      <c r="AE49" s="1"/>
    </row>
    <row r="50" spans="2:31">
      <c r="B50" s="116">
        <v>44812</v>
      </c>
      <c r="C50" s="14" t="str">
        <f t="shared" si="16"/>
        <v/>
      </c>
      <c r="D50" s="87"/>
      <c r="E50" s="87">
        <v>0</v>
      </c>
      <c r="F50" s="23">
        <v>-811229</v>
      </c>
      <c r="G50" s="26">
        <f t="shared" si="17"/>
        <v>-127981</v>
      </c>
      <c r="H50" s="132">
        <v>300</v>
      </c>
      <c r="I50" s="25">
        <v>17400</v>
      </c>
      <c r="J50" s="25">
        <v>400</v>
      </c>
      <c r="K50" s="170">
        <f t="shared" si="18"/>
        <v>18100</v>
      </c>
      <c r="L50" s="171">
        <v>-16</v>
      </c>
      <c r="M50" s="153"/>
      <c r="N50" s="149">
        <f t="shared" si="19"/>
        <v>-109897</v>
      </c>
      <c r="O50" s="67">
        <f t="shared" si="20"/>
        <v>3798845.2454545451</v>
      </c>
      <c r="P50" s="7">
        <f t="shared" si="11"/>
        <v>167149190.79999998</v>
      </c>
      <c r="Q50" s="164">
        <f>Q49+N50</f>
        <v>3945961.45</v>
      </c>
      <c r="R50" s="29">
        <f t="shared" si="3"/>
        <v>2453.7050376124071</v>
      </c>
      <c r="S50" s="5">
        <f>SUM($Q$7:$Q50)/T50-83</f>
        <v>3960157.2454545442</v>
      </c>
      <c r="T50" s="18">
        <v>44</v>
      </c>
      <c r="U50" s="138"/>
      <c r="V50" s="137"/>
      <c r="W50" s="105">
        <v>-2628110</v>
      </c>
      <c r="X50" s="167"/>
      <c r="Y50" s="156">
        <f t="shared" si="21"/>
        <v>-2628110</v>
      </c>
      <c r="Z50" s="217"/>
      <c r="AD50" s="1"/>
      <c r="AE50" s="1"/>
    </row>
    <row r="51" spans="2:31">
      <c r="B51" s="116">
        <v>44813</v>
      </c>
      <c r="C51" s="14" t="str">
        <f t="shared" si="16"/>
        <v/>
      </c>
      <c r="D51" s="87"/>
      <c r="E51" s="87">
        <v>0</v>
      </c>
      <c r="F51" s="23">
        <v>-994307</v>
      </c>
      <c r="G51" s="26">
        <f t="shared" si="17"/>
        <v>-183078</v>
      </c>
      <c r="H51" s="132">
        <v>300</v>
      </c>
      <c r="I51" s="25">
        <v>43400</v>
      </c>
      <c r="J51" s="25">
        <v>300</v>
      </c>
      <c r="K51" s="170">
        <f t="shared" si="18"/>
        <v>44000</v>
      </c>
      <c r="L51" s="171">
        <v>-36</v>
      </c>
      <c r="M51" s="153"/>
      <c r="N51" s="149">
        <f t="shared" si="19"/>
        <v>-139114</v>
      </c>
      <c r="O51" s="67">
        <f t="shared" si="20"/>
        <v>3795436.4722222215</v>
      </c>
      <c r="P51" s="7">
        <f t="shared" si="11"/>
        <v>170794641.24999997</v>
      </c>
      <c r="Q51" s="164">
        <f t="shared" ref="Q51" si="22">Q50+N51-2</f>
        <v>3806845.45</v>
      </c>
      <c r="R51" s="29">
        <f t="shared" si="3"/>
        <v>2451.5929689409345</v>
      </c>
      <c r="S51" s="5">
        <f>SUM($Q$7:$Q51)/T51-83</f>
        <v>3956748.4722222211</v>
      </c>
      <c r="T51" s="18">
        <v>45</v>
      </c>
      <c r="U51" s="138"/>
      <c r="V51" s="137"/>
      <c r="W51" s="105">
        <v>-2672073</v>
      </c>
      <c r="X51" s="167"/>
      <c r="Y51" s="156">
        <f t="shared" si="21"/>
        <v>-2672073</v>
      </c>
      <c r="Z51" s="217"/>
      <c r="AD51" s="1"/>
      <c r="AE51" s="1"/>
    </row>
    <row r="52" spans="2:31">
      <c r="B52" s="116">
        <v>44814</v>
      </c>
      <c r="C52" s="14" t="str">
        <f t="shared" si="16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0"/>
        <v>3792175.906521738</v>
      </c>
      <c r="P52" s="7">
        <f t="shared" si="11"/>
        <v>174440091.69999996</v>
      </c>
      <c r="Q52" s="164">
        <f>Q51+N52</f>
        <v>3806845.45</v>
      </c>
      <c r="R52" s="29">
        <f t="shared" si="3"/>
        <v>2449.5727293421342</v>
      </c>
      <c r="S52" s="5">
        <f>SUM($Q$7:$Q52)/T52-83</f>
        <v>3953487.9065217376</v>
      </c>
      <c r="T52" s="18">
        <v>46</v>
      </c>
      <c r="U52" s="138"/>
      <c r="V52" s="137"/>
      <c r="W52" s="105">
        <v>-2672073</v>
      </c>
      <c r="X52" s="167"/>
      <c r="Y52" s="156">
        <f t="shared" si="21"/>
        <v>-2672072</v>
      </c>
      <c r="Z52" s="217"/>
      <c r="AD52" s="1"/>
      <c r="AE52" s="1"/>
    </row>
    <row r="53" spans="2:31">
      <c r="B53" s="116">
        <v>44815</v>
      </c>
      <c r="C53" s="14" t="str">
        <f t="shared" si="16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0"/>
        <v>3789054.0882978714</v>
      </c>
      <c r="P53" s="7">
        <f t="shared" si="11"/>
        <v>178085542.14999995</v>
      </c>
      <c r="Q53" s="164">
        <f>Q52+N53</f>
        <v>3806845.45</v>
      </c>
      <c r="R53" s="29">
        <f t="shared" si="3"/>
        <v>2447.6384573858363</v>
      </c>
      <c r="S53" s="5">
        <f>SUM($Q$7:$Q53)/T53-83</f>
        <v>3950366.0882978705</v>
      </c>
      <c r="T53" s="18">
        <v>47</v>
      </c>
      <c r="U53" s="138"/>
      <c r="V53" s="137"/>
      <c r="W53" s="105">
        <v>-2672073</v>
      </c>
      <c r="X53" s="167"/>
      <c r="Y53" s="156">
        <f t="shared" si="21"/>
        <v>-2672071</v>
      </c>
      <c r="Z53" s="217"/>
      <c r="AD53" s="1"/>
      <c r="AE53" s="1"/>
    </row>
    <row r="54" spans="2:31">
      <c r="B54" s="116">
        <v>44816</v>
      </c>
      <c r="C54" s="14" t="str">
        <f t="shared" si="16"/>
        <v/>
      </c>
      <c r="D54" s="87"/>
      <c r="E54" s="87">
        <v>6</v>
      </c>
      <c r="F54" s="23">
        <v>-1152899</v>
      </c>
      <c r="G54" s="26">
        <f>D54+E54+F54-E51-F51</f>
        <v>-158586</v>
      </c>
      <c r="H54" s="132">
        <v>300</v>
      </c>
      <c r="I54" s="25">
        <v>18200</v>
      </c>
      <c r="J54" s="25">
        <v>700</v>
      </c>
      <c r="K54" s="170">
        <f t="shared" si="18"/>
        <v>19200</v>
      </c>
      <c r="L54" s="171">
        <v>31</v>
      </c>
      <c r="M54" s="153"/>
      <c r="N54" s="149">
        <f t="shared" si="19"/>
        <v>-139355</v>
      </c>
      <c r="O54" s="67">
        <f t="shared" si="20"/>
        <v>3783159.1166666653</v>
      </c>
      <c r="P54" s="7">
        <f t="shared" si="11"/>
        <v>181591637.59999993</v>
      </c>
      <c r="Q54" s="164">
        <f>Q53+N54</f>
        <v>3667490.45</v>
      </c>
      <c r="R54" s="29">
        <f t="shared" si="3"/>
        <v>2444.0937554860216</v>
      </c>
      <c r="S54" s="5">
        <f>SUM($Q$7:$Q54)/T54+91</f>
        <v>3944645.1166666648</v>
      </c>
      <c r="T54" s="18">
        <v>48</v>
      </c>
      <c r="U54" s="138"/>
      <c r="V54" s="137"/>
      <c r="W54" s="105">
        <v>-2691304</v>
      </c>
      <c r="X54" s="167"/>
      <c r="Y54" s="156">
        <f>Y53-K54-L54-2</f>
        <v>-2691304</v>
      </c>
      <c r="Z54" s="217"/>
      <c r="AD54" s="1"/>
      <c r="AE54" s="1"/>
    </row>
    <row r="55" spans="2:31">
      <c r="B55" s="116">
        <v>44817</v>
      </c>
      <c r="C55" s="14" t="str">
        <f t="shared" si="16"/>
        <v/>
      </c>
      <c r="D55" s="87"/>
      <c r="E55" s="87">
        <v>15</v>
      </c>
      <c r="F55" s="23">
        <v>-1323065</v>
      </c>
      <c r="G55" s="26">
        <f t="shared" si="17"/>
        <v>-170157</v>
      </c>
      <c r="H55" s="132">
        <v>300</v>
      </c>
      <c r="I55" s="25">
        <v>27200</v>
      </c>
      <c r="J55" s="25">
        <v>800</v>
      </c>
      <c r="K55" s="170">
        <f t="shared" si="18"/>
        <v>28300</v>
      </c>
      <c r="L55" s="171">
        <v>8</v>
      </c>
      <c r="M55" s="153"/>
      <c r="N55" s="149">
        <f t="shared" si="19"/>
        <v>-141849</v>
      </c>
      <c r="O55" s="67">
        <f t="shared" si="20"/>
        <v>3774609.878571427</v>
      </c>
      <c r="P55" s="7">
        <f t="shared" si="11"/>
        <v>184955884.04999992</v>
      </c>
      <c r="Q55" s="164">
        <f>Q54+N55</f>
        <v>3525641.45</v>
      </c>
      <c r="R55" s="29">
        <f t="shared" si="3"/>
        <v>2438.6888556469694</v>
      </c>
      <c r="S55" s="5">
        <f>SUM($Q$7:$Q55)/T55-83</f>
        <v>3935921.8785714265</v>
      </c>
      <c r="T55" s="18">
        <v>49</v>
      </c>
      <c r="U55" s="138"/>
      <c r="V55" s="137"/>
      <c r="W55" s="105">
        <v>-2719611</v>
      </c>
      <c r="X55" s="167"/>
      <c r="Y55" s="156">
        <f t="shared" si="21"/>
        <v>-2719611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2022'!Q48</f>
        <v>3895398.45</v>
      </c>
    </row>
    <row r="60" spans="2:31">
      <c r="D60" s="138" t="s">
        <v>4</v>
      </c>
      <c r="E60" s="139"/>
      <c r="F60" s="143"/>
      <c r="G60" s="91">
        <f>'JULY 2022'!E48</f>
        <v>1</v>
      </c>
    </row>
    <row r="61" spans="2:31">
      <c r="D61" s="138" t="s">
        <v>60</v>
      </c>
      <c r="E61" s="144"/>
      <c r="F61" s="143"/>
      <c r="G61" s="91">
        <f>'JULY 2022'!F48</f>
        <v>-701077</v>
      </c>
    </row>
    <row r="62" spans="2:31" ht="12.75" thickBot="1">
      <c r="D62" s="140" t="s">
        <v>46</v>
      </c>
      <c r="E62" s="145"/>
      <c r="F62" s="146"/>
      <c r="G62" s="158">
        <f>'JULY 2022'!Y48</f>
        <v>-2470899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BF2E-B201-43FC-81C1-D092B879C2E0}">
  <sheetPr codeName="Sheet35">
    <pageSetUpPr fitToPage="1"/>
  </sheetPr>
  <dimension ref="B1:IU6551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164350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44818</v>
      </c>
      <c r="C7" s="196" t="str">
        <f t="shared" ref="C7:C55" si="0">IF(OR(WEEKDAY(B7)=1,WEEKDAY(B7)=7),"F","")</f>
        <v/>
      </c>
      <c r="D7" s="197">
        <f>-3680+3926</f>
        <v>246</v>
      </c>
      <c r="E7" s="197">
        <v>0</v>
      </c>
      <c r="F7" s="198">
        <v>-3853832</v>
      </c>
      <c r="G7" s="199">
        <f>D7+E7+F7-G60-G61</f>
        <v>-2530536</v>
      </c>
      <c r="H7" s="132">
        <v>300</v>
      </c>
      <c r="I7" s="63">
        <v>47100</v>
      </c>
      <c r="J7" s="63">
        <v>900</v>
      </c>
      <c r="K7" s="170">
        <f t="shared" ref="K7:K9" si="1">+H7+I7+J7</f>
        <v>48300</v>
      </c>
      <c r="L7" s="169">
        <v>-28</v>
      </c>
      <c r="M7" s="203"/>
      <c r="N7" s="204">
        <f>L7+K7+G7+M7</f>
        <v>-2482264</v>
      </c>
      <c r="O7" s="205">
        <f t="shared" ref="O7:O55" si="2">P7/T7</f>
        <v>879026.45000000019</v>
      </c>
      <c r="P7" s="206">
        <f>(+$Q7-$Q$3)</f>
        <v>879026.45000000019</v>
      </c>
      <c r="Q7" s="207">
        <f>G59+N7-1</f>
        <v>1043376.4500000002</v>
      </c>
      <c r="R7" s="208">
        <f t="shared" ref="R7:R55" si="3">$S7/$Q$3*100</f>
        <v>634.85028901734108</v>
      </c>
      <c r="S7" s="209">
        <f>$Q7</f>
        <v>1043376.4500000002</v>
      </c>
      <c r="T7" s="210">
        <v>1</v>
      </c>
      <c r="U7" s="211">
        <f>B7</f>
        <v>44818</v>
      </c>
      <c r="V7" s="212">
        <v>2283.3000000000002</v>
      </c>
      <c r="W7" s="213">
        <v>-2767883</v>
      </c>
      <c r="X7" s="214">
        <f>AVERAGE(W7:W11)</f>
        <v>-2709160.6</v>
      </c>
      <c r="Y7" s="215">
        <f>G62-K7-L7</f>
        <v>-2767883</v>
      </c>
      <c r="Z7" s="216">
        <f>AVERAGE(Y7:Y13)</f>
        <v>-2695699.4285714286</v>
      </c>
      <c r="AA7" s="92"/>
    </row>
    <row r="8" spans="2:255">
      <c r="B8" s="116">
        <v>44819</v>
      </c>
      <c r="C8" s="14"/>
      <c r="D8" s="87"/>
      <c r="E8" s="128">
        <v>1</v>
      </c>
      <c r="F8" s="162">
        <v>-4213046</v>
      </c>
      <c r="G8" s="26">
        <f>D8+E8+F8-E7-F7</f>
        <v>-359213</v>
      </c>
      <c r="H8" s="132">
        <v>300</v>
      </c>
      <c r="I8" s="63">
        <v>-47300</v>
      </c>
      <c r="J8" s="63">
        <v>900</v>
      </c>
      <c r="K8" s="170">
        <f t="shared" si="1"/>
        <v>-46100</v>
      </c>
      <c r="L8" s="171">
        <v>15</v>
      </c>
      <c r="M8" s="153"/>
      <c r="N8" s="149">
        <f>L8+K8+G8+M8</f>
        <v>-405298</v>
      </c>
      <c r="O8" s="67">
        <f t="shared" si="2"/>
        <v>736427.45000000019</v>
      </c>
      <c r="P8" s="163">
        <f>(IF($Q8&lt;0,-$Q$3+P7,($Q8-$Q$3)+P7))</f>
        <v>1472854.9000000004</v>
      </c>
      <c r="Q8" s="164">
        <f>Q7+N8+1+120099</f>
        <v>758178.45000000019</v>
      </c>
      <c r="R8" s="29">
        <f t="shared" si="3"/>
        <v>548.08484940675396</v>
      </c>
      <c r="S8" s="165">
        <f>SUM($Q$7:$Q8)/T8</f>
        <v>900777.45000000019</v>
      </c>
      <c r="T8" s="166">
        <v>2</v>
      </c>
      <c r="U8" s="138">
        <f>B7+6</f>
        <v>44824</v>
      </c>
      <c r="V8" s="131"/>
      <c r="W8" s="105">
        <v>-2721798</v>
      </c>
      <c r="X8" s="167"/>
      <c r="Y8" s="156">
        <f>Y7-K8-L8</f>
        <v>-2721798</v>
      </c>
      <c r="Z8" s="217"/>
      <c r="AA8" s="92"/>
    </row>
    <row r="9" spans="2:255">
      <c r="B9" s="116">
        <v>44820</v>
      </c>
      <c r="C9" s="14" t="str">
        <f t="shared" si="0"/>
        <v/>
      </c>
      <c r="D9" s="87"/>
      <c r="E9" s="87">
        <v>0</v>
      </c>
      <c r="F9" s="23">
        <v>-4266629</v>
      </c>
      <c r="G9" s="26">
        <f>D9+E9+F9-E8-F8</f>
        <v>-53584</v>
      </c>
      <c r="H9" s="132">
        <v>2800</v>
      </c>
      <c r="I9" s="63">
        <v>-40100</v>
      </c>
      <c r="J9" s="63">
        <v>900</v>
      </c>
      <c r="K9" s="170">
        <f t="shared" si="1"/>
        <v>-36400</v>
      </c>
      <c r="L9" s="171">
        <v>-21</v>
      </c>
      <c r="M9" s="153"/>
      <c r="N9" s="149">
        <f>L9+K9+G9+M9</f>
        <v>-90005</v>
      </c>
      <c r="O9" s="67">
        <f t="shared" si="2"/>
        <v>618861.78333333356</v>
      </c>
      <c r="P9" s="163">
        <f t="shared" ref="P9" si="4">(IF($Q9&lt;0,-$Q$3+P8,($Q9-$Q$3)+P8))</f>
        <v>1856585.3500000006</v>
      </c>
      <c r="Q9" s="164">
        <f>Q8+N9-120103+10</f>
        <v>548080.45000000019</v>
      </c>
      <c r="R9" s="29">
        <f t="shared" si="3"/>
        <v>476.55173917452601</v>
      </c>
      <c r="S9" s="5">
        <f>SUM($Q$7:$Q9)/T9+1</f>
        <v>783212.78333333356</v>
      </c>
      <c r="T9" s="17">
        <v>3</v>
      </c>
      <c r="U9" s="4"/>
      <c r="V9" s="131"/>
      <c r="W9" s="105">
        <v>-2685374</v>
      </c>
      <c r="X9" s="167"/>
      <c r="Y9" s="156">
        <f>Y8-K9-L9+3</f>
        <v>-2685374</v>
      </c>
      <c r="Z9" s="217"/>
      <c r="AA9" s="92"/>
    </row>
    <row r="10" spans="2:255">
      <c r="B10" s="116">
        <v>44821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560078.95000000019</v>
      </c>
      <c r="P10" s="163">
        <f>(IF($Q10&lt;0,-$Q$3+P9,($Q10-$Q$3)+P9))</f>
        <v>2240315.8000000007</v>
      </c>
      <c r="Q10" s="164">
        <f>Q9+N10</f>
        <v>548080.45000000019</v>
      </c>
      <c r="R10" s="29">
        <f t="shared" si="3"/>
        <v>440.78366291451181</v>
      </c>
      <c r="S10" s="5">
        <f>SUM($Q$7:$Q10)/T10-1</f>
        <v>724427.95000000019</v>
      </c>
      <c r="T10" s="17">
        <v>4</v>
      </c>
      <c r="U10" s="27"/>
      <c r="V10" s="133"/>
      <c r="W10" s="105">
        <v>-2685374</v>
      </c>
      <c r="X10" s="167"/>
      <c r="Y10" s="156">
        <f>Y9-K10-L10</f>
        <v>-2685374</v>
      </c>
      <c r="Z10" s="217"/>
      <c r="AA10" s="92"/>
    </row>
    <row r="11" spans="2:255">
      <c r="B11" s="116">
        <v>44822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524809.25000000023</v>
      </c>
      <c r="P11" s="163">
        <f t="shared" ref="P11:P55" si="5">(IF($Q11&lt;0,-$Q$3+P10,($Q11-$Q$3)+P10))</f>
        <v>2624046.2500000009</v>
      </c>
      <c r="Q11" s="164">
        <f t="shared" ref="Q11:Q18" si="6">Q10+N11</f>
        <v>548080.45000000019</v>
      </c>
      <c r="R11" s="29">
        <f t="shared" si="3"/>
        <v>419.32415576513552</v>
      </c>
      <c r="S11" s="5">
        <f>SUM($Q$7:$Q11)/T11</f>
        <v>689159.25000000023</v>
      </c>
      <c r="T11" s="17">
        <v>5</v>
      </c>
      <c r="U11" s="27"/>
      <c r="V11" s="134"/>
      <c r="W11" s="105">
        <v>-2685374</v>
      </c>
      <c r="X11" s="167"/>
      <c r="Y11" s="156">
        <f t="shared" ref="Y11:Y39" si="7">Y10-K11-L11</f>
        <v>-2685374</v>
      </c>
      <c r="Z11" s="217"/>
      <c r="AA11" s="92"/>
    </row>
    <row r="12" spans="2:255">
      <c r="B12" s="116">
        <v>44823</v>
      </c>
      <c r="C12" s="14" t="str">
        <f t="shared" si="0"/>
        <v/>
      </c>
      <c r="D12" s="87"/>
      <c r="E12" s="161">
        <v>11</v>
      </c>
      <c r="F12" s="23">
        <v>-4268738</v>
      </c>
      <c r="G12" s="26">
        <f>D12+E12+F12-E9-F9</f>
        <v>-2098</v>
      </c>
      <c r="H12" s="132">
        <v>300</v>
      </c>
      <c r="I12" s="63">
        <v>-15700</v>
      </c>
      <c r="J12" s="63">
        <v>900</v>
      </c>
      <c r="K12" s="170">
        <f t="shared" ref="K12:K55" si="8">+H12+I12+J12</f>
        <v>-14500</v>
      </c>
      <c r="L12" s="171">
        <v>36</v>
      </c>
      <c r="M12" s="153"/>
      <c r="N12" s="149">
        <f t="shared" ref="N12:N55" si="9">L12+K12+G12+M12</f>
        <v>-16562</v>
      </c>
      <c r="O12" s="67">
        <f t="shared" si="2"/>
        <v>498535.95000000019</v>
      </c>
      <c r="P12" s="163">
        <f t="shared" si="5"/>
        <v>2991215.7000000011</v>
      </c>
      <c r="Q12" s="164">
        <f>Q11+N12+1</f>
        <v>531519.45000000019</v>
      </c>
      <c r="R12" s="29">
        <f t="shared" si="3"/>
        <v>403.3373592941893</v>
      </c>
      <c r="S12" s="5">
        <f>SUM($Q$7:$Q12)/T12-1</f>
        <v>662884.95000000019</v>
      </c>
      <c r="T12" s="17">
        <v>6</v>
      </c>
      <c r="U12" s="138">
        <f>B12</f>
        <v>44823</v>
      </c>
      <c r="V12" s="310">
        <v>2259.5</v>
      </c>
      <c r="W12" s="105">
        <v>-2670910</v>
      </c>
      <c r="X12" s="167">
        <f>AVERAGE(W12:W20)</f>
        <v>-2666798</v>
      </c>
      <c r="Y12" s="156">
        <f>Y11-K12-L12</f>
        <v>-2670910</v>
      </c>
      <c r="Z12" s="217">
        <f>AVERAGE(Y12:Y20)</f>
        <v>-2666796.6666666665</v>
      </c>
      <c r="AA12" s="92"/>
    </row>
    <row r="13" spans="2:255">
      <c r="B13" s="116">
        <v>44824</v>
      </c>
      <c r="C13" s="14"/>
      <c r="D13" s="87"/>
      <c r="E13" s="87">
        <v>3</v>
      </c>
      <c r="F13" s="23">
        <v>-4302813</v>
      </c>
      <c r="G13" s="26">
        <f>D13+E13+F13-E12-F12</f>
        <v>-34083</v>
      </c>
      <c r="H13" s="132">
        <v>-11700</v>
      </c>
      <c r="I13" s="63">
        <v>-6900</v>
      </c>
      <c r="J13" s="63">
        <v>900</v>
      </c>
      <c r="K13" s="170">
        <f t="shared" si="8"/>
        <v>-17700</v>
      </c>
      <c r="L13" s="171">
        <v>-27</v>
      </c>
      <c r="M13" s="153"/>
      <c r="N13" s="149">
        <f t="shared" si="9"/>
        <v>-51810</v>
      </c>
      <c r="O13" s="67">
        <f t="shared" si="2"/>
        <v>472367.87857142877</v>
      </c>
      <c r="P13" s="163">
        <f t="shared" si="5"/>
        <v>3306575.1500000013</v>
      </c>
      <c r="Q13" s="164">
        <f>Q12+N13</f>
        <v>479709.45000000019</v>
      </c>
      <c r="R13" s="29">
        <f t="shared" si="3"/>
        <v>387.41580685818604</v>
      </c>
      <c r="S13" s="5">
        <f>SUM($Q$7:$Q13)/T13</f>
        <v>636717.87857142871</v>
      </c>
      <c r="T13" s="17">
        <v>7</v>
      </c>
      <c r="U13" s="138">
        <f>B14+6</f>
        <v>44831</v>
      </c>
      <c r="V13" s="249"/>
      <c r="W13" s="105">
        <v>-2653183</v>
      </c>
      <c r="X13" s="167"/>
      <c r="Y13" s="156">
        <f t="shared" ref="Y13:Y14" si="10">Y12-K13-L13</f>
        <v>-2653183</v>
      </c>
      <c r="Z13" s="217"/>
      <c r="AA13" s="92"/>
      <c r="AB13" s="92"/>
    </row>
    <row r="14" spans="2:255">
      <c r="B14" s="116">
        <v>44825</v>
      </c>
      <c r="C14" s="14"/>
      <c r="D14" s="87">
        <f>-3926+3728</f>
        <v>-198</v>
      </c>
      <c r="E14" s="87">
        <v>1</v>
      </c>
      <c r="F14" s="23">
        <v>-4311642</v>
      </c>
      <c r="G14" s="26">
        <f>D14+E14+F14-E13-F13</f>
        <v>-9029</v>
      </c>
      <c r="H14" s="132">
        <v>-10500</v>
      </c>
      <c r="I14" s="63">
        <v>19300</v>
      </c>
      <c r="J14" s="63">
        <v>900</v>
      </c>
      <c r="K14" s="170">
        <f t="shared" si="8"/>
        <v>9700</v>
      </c>
      <c r="L14" s="171">
        <v>-41</v>
      </c>
      <c r="M14" s="154"/>
      <c r="N14" s="149">
        <f>L14+K14+G14+M14</f>
        <v>630</v>
      </c>
      <c r="O14" s="67">
        <f>P14/T14+1</f>
        <v>452821.57500000019</v>
      </c>
      <c r="P14" s="163">
        <f t="shared" si="5"/>
        <v>3622564.6000000015</v>
      </c>
      <c r="Q14" s="164">
        <f>Q13+N14</f>
        <v>480339.45000000019</v>
      </c>
      <c r="R14" s="29">
        <f t="shared" si="3"/>
        <v>375.52392759355047</v>
      </c>
      <c r="S14" s="5">
        <f>SUM($Q$7:$Q14)/T14+3</f>
        <v>617173.57500000019</v>
      </c>
      <c r="T14" s="17">
        <v>8</v>
      </c>
      <c r="U14" s="4"/>
      <c r="V14" s="4"/>
      <c r="W14" s="105">
        <v>-2662842</v>
      </c>
      <c r="X14" s="167"/>
      <c r="Y14" s="156">
        <f t="shared" si="10"/>
        <v>-2662842</v>
      </c>
      <c r="Z14" s="217"/>
      <c r="AA14" s="92"/>
    </row>
    <row r="15" spans="2:255">
      <c r="B15" s="116">
        <v>44826</v>
      </c>
      <c r="C15" s="14" t="str">
        <f t="shared" si="0"/>
        <v/>
      </c>
      <c r="D15" s="87"/>
      <c r="E15" s="87">
        <v>10</v>
      </c>
      <c r="F15" s="23">
        <v>-4336794</v>
      </c>
      <c r="G15" s="26">
        <f>D15+E15+F15-E14-F14</f>
        <v>-25143</v>
      </c>
      <c r="H15" s="132">
        <v>-200</v>
      </c>
      <c r="I15" s="63">
        <v>6400</v>
      </c>
      <c r="J15" s="63">
        <v>900</v>
      </c>
      <c r="K15" s="170">
        <f t="shared" si="8"/>
        <v>7100</v>
      </c>
      <c r="L15" s="172">
        <v>39</v>
      </c>
      <c r="M15" s="153"/>
      <c r="N15" s="149">
        <f>L15+K15+G15+M15</f>
        <v>-18004</v>
      </c>
      <c r="O15" s="67">
        <f t="shared" si="2"/>
        <v>435616.67222222243</v>
      </c>
      <c r="P15" s="7">
        <f t="shared" si="5"/>
        <v>3920550.0500000017</v>
      </c>
      <c r="Q15" s="164">
        <f>Q14+N15</f>
        <v>462335.45000000019</v>
      </c>
      <c r="R15" s="29">
        <f t="shared" si="3"/>
        <v>365.05364905520076</v>
      </c>
      <c r="S15" s="5">
        <f>SUM($Q$7:$Q15)/T15-1</f>
        <v>599965.67222222243</v>
      </c>
      <c r="T15" s="17">
        <v>9</v>
      </c>
      <c r="U15" s="4"/>
      <c r="V15" s="4"/>
      <c r="W15" s="105">
        <v>-2669981</v>
      </c>
      <c r="X15" s="167"/>
      <c r="Y15" s="156">
        <f>Y14-K15-L15</f>
        <v>-2669981</v>
      </c>
      <c r="Z15" s="217"/>
      <c r="AA15" s="92"/>
      <c r="AB15" s="92"/>
    </row>
    <row r="16" spans="2:255" s="69" customFormat="1">
      <c r="B16" s="116">
        <v>44827</v>
      </c>
      <c r="C16" s="14"/>
      <c r="D16" s="129"/>
      <c r="E16" s="87">
        <v>0</v>
      </c>
      <c r="F16" s="23">
        <v>-4405190</v>
      </c>
      <c r="G16" s="26">
        <f>D16+E16+F16-E15-F15</f>
        <v>-68406</v>
      </c>
      <c r="H16" s="132">
        <v>-100</v>
      </c>
      <c r="I16" s="63">
        <v>8700</v>
      </c>
      <c r="J16" s="63">
        <v>900</v>
      </c>
      <c r="K16" s="170">
        <f t="shared" si="8"/>
        <v>9500</v>
      </c>
      <c r="L16" s="172">
        <v>-31</v>
      </c>
      <c r="M16" s="153"/>
      <c r="N16" s="152">
        <f>L16+K16+G16+M16</f>
        <v>-58937</v>
      </c>
      <c r="O16" s="67">
        <f t="shared" si="2"/>
        <v>415959.95000000019</v>
      </c>
      <c r="P16" s="70">
        <f t="shared" si="5"/>
        <v>4159599.5000000019</v>
      </c>
      <c r="Q16" s="164">
        <f>Q15+N16+1</f>
        <v>403399.45000000019</v>
      </c>
      <c r="R16" s="71">
        <f t="shared" si="3"/>
        <v>353.09397627015528</v>
      </c>
      <c r="S16" s="72">
        <f>SUM($Q$7:$Q16)/T16</f>
        <v>580309.95000000019</v>
      </c>
      <c r="T16" s="73">
        <v>10</v>
      </c>
      <c r="U16" s="218"/>
      <c r="V16" s="133"/>
      <c r="W16" s="105">
        <v>-2679451</v>
      </c>
      <c r="X16" s="167"/>
      <c r="Y16" s="156">
        <f>Y15-K16-L16+3</f>
        <v>-2679447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44828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399877.17727272748</v>
      </c>
      <c r="P17" s="7">
        <f t="shared" si="5"/>
        <v>4398648.950000002</v>
      </c>
      <c r="Q17" s="164">
        <f t="shared" si="6"/>
        <v>403399.45000000019</v>
      </c>
      <c r="R17" s="29">
        <f t="shared" si="3"/>
        <v>343.30829161711438</v>
      </c>
      <c r="S17" s="5">
        <f>SUM($Q$7:$Q17)/T17</f>
        <v>564227.17727272748</v>
      </c>
      <c r="T17" s="18">
        <v>11</v>
      </c>
      <c r="U17" s="27"/>
      <c r="V17" s="136"/>
      <c r="W17" s="105">
        <v>-2679451</v>
      </c>
      <c r="X17" s="167"/>
      <c r="Y17" s="156">
        <f t="shared" si="7"/>
        <v>-2679447</v>
      </c>
      <c r="Z17" s="217"/>
      <c r="AA17" s="92"/>
      <c r="AC17" s="92"/>
    </row>
    <row r="18" spans="2:31">
      <c r="B18" s="116">
        <v>44829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386474.86666666687</v>
      </c>
      <c r="P18" s="7">
        <f t="shared" si="5"/>
        <v>4637698.4000000022</v>
      </c>
      <c r="Q18" s="164">
        <f t="shared" si="6"/>
        <v>403399.45000000019</v>
      </c>
      <c r="R18" s="29">
        <f t="shared" si="3"/>
        <v>335.15294594868681</v>
      </c>
      <c r="S18" s="5">
        <f>SUM($Q$7:$Q18)/T18-1</f>
        <v>550823.86666666681</v>
      </c>
      <c r="T18" s="18">
        <v>12</v>
      </c>
      <c r="U18" s="27"/>
      <c r="V18" s="136"/>
      <c r="W18" s="105">
        <v>-2679451</v>
      </c>
      <c r="X18" s="167"/>
      <c r="Y18" s="156">
        <f t="shared" si="7"/>
        <v>-2679447</v>
      </c>
      <c r="Z18" s="217"/>
      <c r="AA18" s="92"/>
    </row>
    <row r="19" spans="2:31">
      <c r="B19" s="116">
        <v>44830</v>
      </c>
      <c r="C19" s="14" t="str">
        <f t="shared" si="0"/>
        <v/>
      </c>
      <c r="D19" s="87"/>
      <c r="E19" s="87">
        <v>0</v>
      </c>
      <c r="F19" s="23">
        <v>-4373043</v>
      </c>
      <c r="G19" s="26">
        <f>D19+E19+F19-E16-F16</f>
        <v>32147</v>
      </c>
      <c r="H19" s="132">
        <v>300</v>
      </c>
      <c r="I19" s="63">
        <v>-19600</v>
      </c>
      <c r="J19" s="63">
        <v>-200</v>
      </c>
      <c r="K19" s="170">
        <f t="shared" si="8"/>
        <v>-19500</v>
      </c>
      <c r="L19" s="171">
        <v>46</v>
      </c>
      <c r="M19" s="153"/>
      <c r="N19" s="149">
        <f t="shared" si="9"/>
        <v>12693</v>
      </c>
      <c r="O19" s="67">
        <f t="shared" si="2"/>
        <v>376110.83461538481</v>
      </c>
      <c r="P19" s="7">
        <f t="shared" si="5"/>
        <v>4889440.8500000024</v>
      </c>
      <c r="Q19" s="164">
        <f>Q18+N19</f>
        <v>416092.45000000019</v>
      </c>
      <c r="R19" s="29">
        <f t="shared" si="3"/>
        <v>328.84930612435949</v>
      </c>
      <c r="S19" s="5">
        <f>SUM($Q$7:$Q19)/T19+3</f>
        <v>540463.83461538481</v>
      </c>
      <c r="T19" s="18">
        <v>13</v>
      </c>
      <c r="U19" s="138">
        <f>B19</f>
        <v>44830</v>
      </c>
      <c r="V19" s="131">
        <v>2240.1999999999998</v>
      </c>
      <c r="W19" s="105">
        <v>-2659997</v>
      </c>
      <c r="X19" s="167">
        <f>AVERAGE(W20:W27)</f>
        <v>-2635838.125</v>
      </c>
      <c r="Y19" s="156">
        <f>Y18-K19-L19-4</f>
        <v>-2659997</v>
      </c>
      <c r="Z19" s="217">
        <f>AVERAGE(Y19:Y27)</f>
        <v>-2638522.4444444445</v>
      </c>
      <c r="AA19" s="92"/>
      <c r="AD19" s="309"/>
    </row>
    <row r="20" spans="2:31">
      <c r="B20" s="116">
        <v>44831</v>
      </c>
      <c r="C20" s="14"/>
      <c r="D20" s="87"/>
      <c r="E20" s="87">
        <v>0</v>
      </c>
      <c r="F20" s="23">
        <v>-4408913</v>
      </c>
      <c r="G20" s="26">
        <f>D20+E20+F20-E19-F19</f>
        <v>-35870</v>
      </c>
      <c r="H20" s="132">
        <v>300</v>
      </c>
      <c r="I20" s="63">
        <v>-14200</v>
      </c>
      <c r="J20" s="63">
        <v>-200</v>
      </c>
      <c r="K20" s="170">
        <f t="shared" si="8"/>
        <v>-14100</v>
      </c>
      <c r="L20" s="171">
        <v>20</v>
      </c>
      <c r="M20" s="153"/>
      <c r="N20" s="149">
        <f t="shared" si="9"/>
        <v>-49950</v>
      </c>
      <c r="O20" s="67">
        <f t="shared" si="2"/>
        <v>363659.37857142877</v>
      </c>
      <c r="P20" s="7">
        <f t="shared" si="5"/>
        <v>5091231.3000000026</v>
      </c>
      <c r="Q20" s="164">
        <f>Q19+N20-2</f>
        <v>366140.45000000019</v>
      </c>
      <c r="R20" s="29">
        <f t="shared" si="3"/>
        <v>321.27251510278592</v>
      </c>
      <c r="S20" s="5">
        <f>SUM($Q$7:$Q20)/T20+2</f>
        <v>528011.37857142871</v>
      </c>
      <c r="T20" s="18">
        <v>14</v>
      </c>
      <c r="U20" s="138">
        <f>B19+8</f>
        <v>44838</v>
      </c>
      <c r="V20" s="131"/>
      <c r="W20" s="105">
        <v>-2645916</v>
      </c>
      <c r="X20" s="167"/>
      <c r="Y20" s="156">
        <f>Y19-K20-L20+1</f>
        <v>-2645916</v>
      </c>
      <c r="Z20" s="217"/>
      <c r="AA20" s="92"/>
      <c r="AB20" s="92"/>
    </row>
    <row r="21" spans="2:31">
      <c r="B21" s="116">
        <v>44832</v>
      </c>
      <c r="C21" s="14" t="str">
        <f t="shared" si="0"/>
        <v/>
      </c>
      <c r="D21" s="87">
        <v>-7591</v>
      </c>
      <c r="E21" s="87">
        <v>191</v>
      </c>
      <c r="F21" s="23">
        <v>-4469804</v>
      </c>
      <c r="G21" s="26">
        <f>D21+E21+F21-E20-F20</f>
        <v>-68291</v>
      </c>
      <c r="H21" s="132">
        <v>400</v>
      </c>
      <c r="I21" s="63">
        <v>9500</v>
      </c>
      <c r="J21" s="63">
        <v>-200</v>
      </c>
      <c r="K21" s="170">
        <f t="shared" si="8"/>
        <v>9700</v>
      </c>
      <c r="L21" s="171">
        <v>35</v>
      </c>
      <c r="M21" s="153"/>
      <c r="N21" s="149">
        <f>L21+K21+G21+M21</f>
        <v>-58556</v>
      </c>
      <c r="O21" s="67">
        <f t="shared" si="2"/>
        <v>348964.38333333354</v>
      </c>
      <c r="P21" s="7">
        <f t="shared" si="5"/>
        <v>5234465.7500000028</v>
      </c>
      <c r="Q21" s="164">
        <f>Q20+N21</f>
        <v>307584.45000000019</v>
      </c>
      <c r="R21" s="29">
        <f t="shared" si="3"/>
        <v>312.33123415475114</v>
      </c>
      <c r="S21" s="5">
        <f>SUM($Q$7:$Q21)/T21-1+3</f>
        <v>513316.38333333354</v>
      </c>
      <c r="T21" s="18">
        <v>15</v>
      </c>
      <c r="U21" s="4"/>
      <c r="V21" s="131"/>
      <c r="W21" s="105">
        <v>-2655652</v>
      </c>
      <c r="X21" s="167"/>
      <c r="Y21" s="156">
        <f>Y20-K21-L21-1</f>
        <v>-2655652</v>
      </c>
      <c r="Z21" s="217"/>
      <c r="AA21" s="92"/>
    </row>
    <row r="22" spans="2:31">
      <c r="B22" s="116">
        <v>44833</v>
      </c>
      <c r="C22" s="14" t="str">
        <f t="shared" si="0"/>
        <v/>
      </c>
      <c r="D22" s="87">
        <f>-1339-401+722</f>
        <v>-1018</v>
      </c>
      <c r="E22" s="87">
        <v>219</v>
      </c>
      <c r="F22" s="23">
        <v>-4474277</v>
      </c>
      <c r="G22" s="26">
        <f>D22+E22+F22-E21-F21</f>
        <v>-5463</v>
      </c>
      <c r="H22" s="132">
        <v>300</v>
      </c>
      <c r="I22" s="63">
        <v>-8900</v>
      </c>
      <c r="J22" s="63">
        <v>-200</v>
      </c>
      <c r="K22" s="170">
        <f t="shared" si="8"/>
        <v>-8800</v>
      </c>
      <c r="L22" s="171">
        <v>-30</v>
      </c>
      <c r="M22" s="153"/>
      <c r="N22" s="149">
        <f>L22+K22+G22+M22</f>
        <v>-14293</v>
      </c>
      <c r="O22" s="67">
        <f t="shared" si="2"/>
        <v>335213.20000000019</v>
      </c>
      <c r="P22" s="7">
        <f t="shared" si="5"/>
        <v>5363411.200000003</v>
      </c>
      <c r="Q22" s="164">
        <f>Q21+N22+4</f>
        <v>293295.45000000019</v>
      </c>
      <c r="R22" s="29">
        <f t="shared" si="3"/>
        <v>303.96300578034692</v>
      </c>
      <c r="S22" s="5">
        <f>SUM($Q$7:$Q22)/T22</f>
        <v>499563.20000000019</v>
      </c>
      <c r="T22" s="18">
        <v>16</v>
      </c>
      <c r="U22" s="4"/>
      <c r="V22" s="131"/>
      <c r="W22" s="105">
        <v>-2646822</v>
      </c>
      <c r="X22" s="167"/>
      <c r="Y22" s="156">
        <f>Y21-K22-L22</f>
        <v>-2646822</v>
      </c>
      <c r="Z22" s="217"/>
      <c r="AA22" s="92"/>
    </row>
    <row r="23" spans="2:31">
      <c r="B23" s="116">
        <v>44834</v>
      </c>
      <c r="C23" s="14"/>
      <c r="D23" s="87"/>
      <c r="E23" s="87">
        <v>280</v>
      </c>
      <c r="F23" s="23">
        <v>-4378209</v>
      </c>
      <c r="G23" s="26">
        <f>D23+E23+F23-E22-F22</f>
        <v>96129</v>
      </c>
      <c r="H23" s="132">
        <v>300</v>
      </c>
      <c r="I23" s="63">
        <v>-71300</v>
      </c>
      <c r="J23" s="63">
        <v>-200</v>
      </c>
      <c r="K23" s="170">
        <f t="shared" si="8"/>
        <v>-71200</v>
      </c>
      <c r="L23" s="171">
        <v>37</v>
      </c>
      <c r="M23" s="153"/>
      <c r="N23" s="149">
        <f>L23+K23+G23+M23</f>
        <v>24966</v>
      </c>
      <c r="O23" s="67">
        <f t="shared" si="2"/>
        <v>324548.39117647079</v>
      </c>
      <c r="P23" s="7">
        <f t="shared" si="5"/>
        <v>5517322.6500000032</v>
      </c>
      <c r="Q23" s="164">
        <f>Q22+N23</f>
        <v>318261.45000000019</v>
      </c>
      <c r="R23" s="29">
        <f t="shared" si="3"/>
        <v>297.47392222480727</v>
      </c>
      <c r="S23" s="5">
        <f>SUM($Q$7:$Q23)/T23</f>
        <v>488898.39117647079</v>
      </c>
      <c r="T23" s="18">
        <v>17</v>
      </c>
      <c r="U23" s="27"/>
      <c r="V23" s="135"/>
      <c r="W23" s="105">
        <v>-2575659</v>
      </c>
      <c r="X23" s="167"/>
      <c r="Y23" s="156">
        <f>Y22-K23-L23</f>
        <v>-2575659</v>
      </c>
      <c r="Z23" s="217"/>
      <c r="AA23" s="92"/>
    </row>
    <row r="24" spans="2:31">
      <c r="B24" s="116">
        <v>44835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315068.56111111131</v>
      </c>
      <c r="P24" s="7">
        <f t="shared" si="5"/>
        <v>5671234.1000000034</v>
      </c>
      <c r="Q24" s="164">
        <f t="shared" ref="Q24:Q25" si="11">Q23+N24</f>
        <v>318261.45000000019</v>
      </c>
      <c r="R24" s="29">
        <f t="shared" si="3"/>
        <v>291.70584795321651</v>
      </c>
      <c r="S24" s="5">
        <f>SUM($Q$7:$Q24)/T24</f>
        <v>479418.56111111131</v>
      </c>
      <c r="T24" s="18">
        <v>18</v>
      </c>
      <c r="U24" s="4"/>
      <c r="V24" s="135"/>
      <c r="W24" s="105">
        <v>-2575659</v>
      </c>
      <c r="X24" s="167"/>
      <c r="Y24" s="156">
        <f t="shared" si="7"/>
        <v>-2575659</v>
      </c>
      <c r="Z24" s="217"/>
      <c r="AA24" s="92"/>
      <c r="AD24" s="1"/>
      <c r="AE24" s="1"/>
    </row>
    <row r="25" spans="2:31">
      <c r="B25" s="116">
        <v>44836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306586.60789473704</v>
      </c>
      <c r="P25" s="7">
        <f t="shared" si="5"/>
        <v>5825145.5500000035</v>
      </c>
      <c r="Q25" s="164">
        <f t="shared" si="11"/>
        <v>318261.45000000019</v>
      </c>
      <c r="R25" s="29">
        <f t="shared" si="3"/>
        <v>286.54493939442477</v>
      </c>
      <c r="S25" s="5">
        <f>SUM($Q$7:$Q25)/T25</f>
        <v>470936.6078947371</v>
      </c>
      <c r="T25" s="18">
        <v>19</v>
      </c>
      <c r="U25" s="4"/>
      <c r="V25" s="131"/>
      <c r="W25" s="105">
        <v>-2575659</v>
      </c>
      <c r="X25" s="167"/>
      <c r="Y25" s="156">
        <f t="shared" si="7"/>
        <v>-2575659</v>
      </c>
      <c r="Z25" s="217"/>
      <c r="AA25" s="92"/>
      <c r="AD25" s="1"/>
      <c r="AE25" s="1"/>
    </row>
    <row r="26" spans="2:31">
      <c r="B26" s="116">
        <v>44837</v>
      </c>
      <c r="C26" s="14"/>
      <c r="D26" s="87"/>
      <c r="E26" s="87">
        <v>235</v>
      </c>
      <c r="F26" s="23">
        <v>-4467585</v>
      </c>
      <c r="G26" s="26">
        <f>D26+E26+F26-E23-F23</f>
        <v>-89421</v>
      </c>
      <c r="H26" s="132">
        <v>10300</v>
      </c>
      <c r="I26" s="63">
        <v>105500</v>
      </c>
      <c r="J26" s="63">
        <v>800</v>
      </c>
      <c r="K26" s="170">
        <f t="shared" si="8"/>
        <v>116600</v>
      </c>
      <c r="L26" s="171">
        <v>-21</v>
      </c>
      <c r="M26" s="153"/>
      <c r="N26" s="149">
        <f t="shared" si="9"/>
        <v>27158</v>
      </c>
      <c r="O26" s="67">
        <f t="shared" si="2"/>
        <v>300310.70000000019</v>
      </c>
      <c r="P26" s="7">
        <f t="shared" si="5"/>
        <v>6006214.0000000037</v>
      </c>
      <c r="Q26" s="164">
        <f>Q25+N26-1</f>
        <v>345418.45000000019</v>
      </c>
      <c r="R26" s="29">
        <f t="shared" si="3"/>
        <v>282.72509887435365</v>
      </c>
      <c r="S26" s="5">
        <f>SUM($Q$7:$Q26)/T26-2</f>
        <v>464658.70000000019</v>
      </c>
      <c r="T26" s="18">
        <v>20</v>
      </c>
      <c r="U26" s="138">
        <f>B26</f>
        <v>44837</v>
      </c>
      <c r="V26" s="131">
        <v>2286.1999999999998</v>
      </c>
      <c r="W26" s="105">
        <v>-2692238</v>
      </c>
      <c r="X26" s="167">
        <f>AVERAGE(W26:W34)</f>
        <v>-2738176.6666666665</v>
      </c>
      <c r="Y26" s="156">
        <f>Y25-K26-L26</f>
        <v>-2692238</v>
      </c>
      <c r="Z26" s="217">
        <f>AVERAGE(Y26:Y34)</f>
        <v>-2738176.6666666665</v>
      </c>
      <c r="AC26" s="92"/>
      <c r="AD26" s="1"/>
      <c r="AE26" s="1"/>
    </row>
    <row r="27" spans="2:31">
      <c r="B27" s="116">
        <v>44838</v>
      </c>
      <c r="C27" s="14" t="str">
        <f t="shared" si="0"/>
        <v/>
      </c>
      <c r="D27" s="87"/>
      <c r="E27" s="87">
        <v>14</v>
      </c>
      <c r="F27" s="23">
        <v>-4567040</v>
      </c>
      <c r="G27" s="26">
        <f>D27+E27+F27-E26-F26</f>
        <v>-99676</v>
      </c>
      <c r="H27" s="132">
        <v>300</v>
      </c>
      <c r="I27" s="63">
        <v>25900</v>
      </c>
      <c r="J27" s="63">
        <v>700</v>
      </c>
      <c r="K27" s="170">
        <f t="shared" si="8"/>
        <v>26900</v>
      </c>
      <c r="L27" s="171">
        <v>-39</v>
      </c>
      <c r="M27" s="153"/>
      <c r="N27" s="149">
        <f>L27+K27+G27+M27</f>
        <v>-72815</v>
      </c>
      <c r="O27" s="67">
        <f t="shared" si="2"/>
        <v>291165.16428571445</v>
      </c>
      <c r="P27" s="7">
        <f t="shared" si="5"/>
        <v>6114468.4500000039</v>
      </c>
      <c r="Q27" s="164">
        <f>Q26+N27+1</f>
        <v>272604.45000000019</v>
      </c>
      <c r="R27" s="29">
        <f t="shared" si="3"/>
        <v>277.16164544308759</v>
      </c>
      <c r="S27" s="5">
        <f>SUM($Q$7:$Q27)/T27</f>
        <v>455515.16428571445</v>
      </c>
      <c r="T27" s="18">
        <v>21</v>
      </c>
      <c r="U27" s="138">
        <f>B28+6</f>
        <v>44845</v>
      </c>
      <c r="V27" s="159"/>
      <c r="W27" s="105">
        <v>-2719100</v>
      </c>
      <c r="X27" s="167"/>
      <c r="Y27" s="156">
        <f>Y26-K27-L27-1</f>
        <v>-2719100</v>
      </c>
      <c r="Z27" s="217"/>
      <c r="AA27" s="92"/>
      <c r="AD27" s="1"/>
      <c r="AE27" s="1"/>
    </row>
    <row r="28" spans="2:31">
      <c r="B28" s="116">
        <v>44839</v>
      </c>
      <c r="C28" s="14" t="str">
        <f t="shared" si="0"/>
        <v/>
      </c>
      <c r="D28" s="87">
        <f>-4486+3665</f>
        <v>-821</v>
      </c>
      <c r="E28" s="87">
        <v>14</v>
      </c>
      <c r="F28" s="23">
        <v>-4579609</v>
      </c>
      <c r="G28" s="26">
        <f>D28+E28+F28-E27-F27</f>
        <v>-13390</v>
      </c>
      <c r="H28" s="132">
        <v>300</v>
      </c>
      <c r="I28" s="63">
        <v>-700</v>
      </c>
      <c r="J28" s="63">
        <v>700</v>
      </c>
      <c r="K28" s="170">
        <f t="shared" si="8"/>
        <v>300</v>
      </c>
      <c r="L28" s="171">
        <v>47</v>
      </c>
      <c r="M28" s="153"/>
      <c r="N28" s="149">
        <f>L28+K28+G28+M28</f>
        <v>-13043</v>
      </c>
      <c r="O28" s="67">
        <f t="shared" si="2"/>
        <v>282258.17727272748</v>
      </c>
      <c r="P28" s="7">
        <f t="shared" si="5"/>
        <v>6209679.9000000041</v>
      </c>
      <c r="Q28" s="164">
        <f>Q27+N28</f>
        <v>259561.45000000019</v>
      </c>
      <c r="R28" s="29">
        <f t="shared" si="3"/>
        <v>271.74151339989498</v>
      </c>
      <c r="S28" s="5">
        <f>SUM($Q$7:$Q28)/T28-1</f>
        <v>446607.17727272736</v>
      </c>
      <c r="T28" s="18">
        <v>22</v>
      </c>
      <c r="U28" s="4"/>
      <c r="V28" s="131"/>
      <c r="W28" s="105">
        <v>-2719446</v>
      </c>
      <c r="X28" s="167"/>
      <c r="Y28" s="156">
        <f>Y27-K28-L28+1</f>
        <v>-2719446</v>
      </c>
      <c r="Z28" s="217"/>
      <c r="AA28" s="92"/>
      <c r="AD28" s="1"/>
      <c r="AE28" s="1"/>
    </row>
    <row r="29" spans="2:31">
      <c r="B29" s="116">
        <v>44840</v>
      </c>
      <c r="C29" s="14" t="str">
        <f t="shared" si="0"/>
        <v/>
      </c>
      <c r="D29" s="87"/>
      <c r="E29" s="87">
        <v>4</v>
      </c>
      <c r="F29" s="23">
        <v>-4592356</v>
      </c>
      <c r="G29" s="26">
        <f>D29+E29+F29-E28-F28</f>
        <v>-12757</v>
      </c>
      <c r="H29" s="132">
        <v>300</v>
      </c>
      <c r="I29" s="63">
        <v>6700</v>
      </c>
      <c r="J29" s="63">
        <v>700</v>
      </c>
      <c r="K29" s="170">
        <f t="shared" si="8"/>
        <v>7700</v>
      </c>
      <c r="L29" s="171">
        <v>5</v>
      </c>
      <c r="M29" s="153"/>
      <c r="N29" s="149">
        <f>L29+K29+G29+M29</f>
        <v>-5052</v>
      </c>
      <c r="O29" s="67">
        <f t="shared" si="2"/>
        <v>273906.01521739148</v>
      </c>
      <c r="P29" s="7">
        <f t="shared" si="5"/>
        <v>6299838.3500000043</v>
      </c>
      <c r="Q29" s="164">
        <f>Q28+N29-1</f>
        <v>254508.45000000019</v>
      </c>
      <c r="R29" s="29">
        <f t="shared" si="3"/>
        <v>266.66018571182923</v>
      </c>
      <c r="S29" s="5">
        <f>SUM($Q$7:$Q29)/T29</f>
        <v>438256.01521739137</v>
      </c>
      <c r="T29" s="18">
        <v>23</v>
      </c>
      <c r="U29" s="4"/>
      <c r="V29" s="131"/>
      <c r="W29" s="105">
        <v>-2727151</v>
      </c>
      <c r="X29" s="167"/>
      <c r="Y29" s="156">
        <f>Y28-K29-L29</f>
        <v>-2727151</v>
      </c>
      <c r="Z29" s="217"/>
      <c r="AA29" s="92"/>
      <c r="AD29" s="1"/>
      <c r="AE29" s="1"/>
    </row>
    <row r="30" spans="2:31">
      <c r="B30" s="116">
        <v>44841</v>
      </c>
      <c r="C30" s="14" t="str">
        <f t="shared" si="0"/>
        <v/>
      </c>
      <c r="D30" s="87"/>
      <c r="E30" s="87">
        <v>13</v>
      </c>
      <c r="F30" s="23">
        <v>-4626739</v>
      </c>
      <c r="G30" s="26">
        <f>D30+E30+F30-E29-F29</f>
        <v>-34374</v>
      </c>
      <c r="H30" s="132">
        <v>300</v>
      </c>
      <c r="I30" s="25">
        <v>30300</v>
      </c>
      <c r="J30" s="25">
        <v>700</v>
      </c>
      <c r="K30" s="170">
        <f t="shared" si="8"/>
        <v>31300</v>
      </c>
      <c r="L30" s="171">
        <v>-37</v>
      </c>
      <c r="M30" s="153"/>
      <c r="N30" s="149">
        <f>L30+K30+G30+M30</f>
        <v>-3111</v>
      </c>
      <c r="O30" s="67">
        <f t="shared" si="2"/>
        <v>266120.24166666687</v>
      </c>
      <c r="P30" s="7">
        <f t="shared" si="5"/>
        <v>6386885.8000000045</v>
      </c>
      <c r="Q30" s="164">
        <f>Q29+N30</f>
        <v>251397.45000000019</v>
      </c>
      <c r="R30" s="29">
        <f t="shared" si="3"/>
        <v>261.92652367914008</v>
      </c>
      <c r="S30" s="5">
        <f>SUM($Q$7:$Q30)/T30+6</f>
        <v>430476.2416666667</v>
      </c>
      <c r="T30" s="18">
        <v>24</v>
      </c>
      <c r="U30" s="4"/>
      <c r="V30" s="131"/>
      <c r="W30" s="105">
        <v>-2758414</v>
      </c>
      <c r="X30" s="167"/>
      <c r="Y30" s="156">
        <f>Y29-K30-L30</f>
        <v>-2758414</v>
      </c>
      <c r="Z30" s="217"/>
      <c r="AA30" s="92"/>
      <c r="AD30" s="1"/>
      <c r="AE30" s="1"/>
    </row>
    <row r="31" spans="2:31">
      <c r="B31" s="116">
        <v>44842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258957.33000000019</v>
      </c>
      <c r="P31" s="7">
        <f t="shared" si="5"/>
        <v>6473933.2500000047</v>
      </c>
      <c r="Q31" s="164">
        <f t="shared" ref="Q31:Q39" si="12">Q30+N31</f>
        <v>251397.45000000019</v>
      </c>
      <c r="R31" s="29">
        <f t="shared" si="3"/>
        <v>257.56576209309401</v>
      </c>
      <c r="S31" s="5">
        <f>SUM($Q$7:$Q31)/T31+2</f>
        <v>423309.33</v>
      </c>
      <c r="T31" s="18">
        <v>25</v>
      </c>
      <c r="U31" s="4"/>
      <c r="V31" s="137"/>
      <c r="W31" s="105">
        <v>-2758414</v>
      </c>
      <c r="X31" s="167"/>
      <c r="Y31" s="156">
        <f t="shared" si="7"/>
        <v>-2758414</v>
      </c>
      <c r="Z31" s="217"/>
      <c r="AA31" s="92"/>
      <c r="AB31" s="92"/>
      <c r="AD31" s="1"/>
      <c r="AE31" s="1"/>
    </row>
    <row r="32" spans="2:31">
      <c r="B32" s="116">
        <v>44843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252345.41153846172</v>
      </c>
      <c r="P32" s="7">
        <f t="shared" si="5"/>
        <v>6560980.7000000048</v>
      </c>
      <c r="Q32" s="164">
        <f t="shared" si="12"/>
        <v>251397.45000000019</v>
      </c>
      <c r="R32" s="29">
        <f t="shared" si="3"/>
        <v>253.53782265802343</v>
      </c>
      <c r="S32" s="5">
        <f>SUM($Q$7:$Q32)/T32-6</f>
        <v>416689.41153846151</v>
      </c>
      <c r="T32" s="18">
        <v>26</v>
      </c>
      <c r="U32" s="27"/>
      <c r="V32" s="137"/>
      <c r="W32" s="105">
        <v>-2758414</v>
      </c>
      <c r="X32" s="167"/>
      <c r="Y32" s="156">
        <f t="shared" si="7"/>
        <v>-2758414</v>
      </c>
      <c r="Z32" s="217"/>
      <c r="AD32" s="1"/>
      <c r="AE32" s="1"/>
    </row>
    <row r="33" spans="2:31">
      <c r="B33" s="116">
        <v>44844</v>
      </c>
      <c r="C33" s="14" t="str">
        <f t="shared" si="0"/>
        <v/>
      </c>
      <c r="D33" s="87"/>
      <c r="E33" s="87">
        <v>13</v>
      </c>
      <c r="F33" s="23">
        <v>-4576695</v>
      </c>
      <c r="G33" s="26">
        <f>D33+E33+F33-E30-F30</f>
        <v>50044</v>
      </c>
      <c r="H33" s="132">
        <v>300</v>
      </c>
      <c r="I33" s="25">
        <v>-5100</v>
      </c>
      <c r="J33" s="25">
        <v>100</v>
      </c>
      <c r="K33" s="170">
        <f t="shared" si="8"/>
        <v>-4700</v>
      </c>
      <c r="L33" s="171">
        <v>32</v>
      </c>
      <c r="M33" s="153"/>
      <c r="N33" s="149">
        <f t="shared" si="9"/>
        <v>45376</v>
      </c>
      <c r="O33" s="67">
        <f t="shared" si="2"/>
        <v>247903.82037037055</v>
      </c>
      <c r="P33" s="7">
        <f t="shared" si="5"/>
        <v>6693403.150000005</v>
      </c>
      <c r="Q33" s="164">
        <f>Q32+N33-1</f>
        <v>296772.45000000019</v>
      </c>
      <c r="R33" s="29">
        <f t="shared" si="3"/>
        <v>250.83834522079118</v>
      </c>
      <c r="S33" s="5">
        <f>SUM($Q$7:$Q33)/T33-1</f>
        <v>412252.82037037029</v>
      </c>
      <c r="T33" s="18">
        <v>27</v>
      </c>
      <c r="U33" s="138">
        <f>B33</f>
        <v>44844</v>
      </c>
      <c r="V33" s="131">
        <v>2213.5</v>
      </c>
      <c r="W33" s="105">
        <v>-2753746</v>
      </c>
      <c r="X33" s="167">
        <f>AVERAGE(W33:W41)</f>
        <v>-2742255.4444444445</v>
      </c>
      <c r="Y33" s="156">
        <f>Y32-K33-L33</f>
        <v>-2753746</v>
      </c>
      <c r="Z33" s="217">
        <f>AVERAGE(Y33:Y41)</f>
        <v>-2742255.4444444445</v>
      </c>
      <c r="AD33" s="1"/>
      <c r="AE33" s="1"/>
    </row>
    <row r="34" spans="2:31">
      <c r="B34" s="116">
        <v>44845</v>
      </c>
      <c r="C34" s="14" t="str">
        <f t="shared" si="0"/>
        <v/>
      </c>
      <c r="D34" s="87"/>
      <c r="E34" s="87">
        <v>0</v>
      </c>
      <c r="F34" s="23">
        <v>-4632033</v>
      </c>
      <c r="G34" s="26">
        <f>D34+E34+F34-E33-F33</f>
        <v>-55351</v>
      </c>
      <c r="H34" s="132">
        <v>300</v>
      </c>
      <c r="I34" s="25">
        <v>2500</v>
      </c>
      <c r="J34" s="25">
        <v>100</v>
      </c>
      <c r="K34" s="170">
        <f t="shared" si="8"/>
        <v>2900</v>
      </c>
      <c r="L34" s="171">
        <v>21</v>
      </c>
      <c r="M34" s="153"/>
      <c r="N34" s="149">
        <f>L34+K34+G34+M34</f>
        <v>-52430</v>
      </c>
      <c r="O34" s="67">
        <f t="shared" si="2"/>
        <v>241907.05714285732</v>
      </c>
      <c r="P34" s="7">
        <f t="shared" si="5"/>
        <v>6773397.6000000052</v>
      </c>
      <c r="Q34" s="164">
        <f>Q33+N34+2</f>
        <v>244344.45000000019</v>
      </c>
      <c r="R34" s="29">
        <f t="shared" si="3"/>
        <v>247.19017775653001</v>
      </c>
      <c r="S34" s="5">
        <f>SUM($Q$7:$Q34)/T34</f>
        <v>406257.05714285705</v>
      </c>
      <c r="T34" s="18">
        <v>28</v>
      </c>
      <c r="U34" s="138">
        <f>B33+8</f>
        <v>44852</v>
      </c>
      <c r="V34" s="131"/>
      <c r="W34" s="105">
        <v>-2756667</v>
      </c>
      <c r="X34" s="167"/>
      <c r="Y34" s="156">
        <f>Y33-K34-L34</f>
        <v>-2756667</v>
      </c>
      <c r="Z34" s="217"/>
      <c r="AA34" s="92"/>
      <c r="AD34" s="1"/>
      <c r="AE34" s="1"/>
    </row>
    <row r="35" spans="2:31">
      <c r="B35" s="116">
        <v>44846</v>
      </c>
      <c r="C35" s="14" t="str">
        <f t="shared" si="0"/>
        <v/>
      </c>
      <c r="D35" s="87">
        <f>-3665+3622</f>
        <v>-43</v>
      </c>
      <c r="E35" s="87">
        <v>3</v>
      </c>
      <c r="F35" s="23">
        <v>-4619953</v>
      </c>
      <c r="G35" s="26">
        <f>D35+E35+F35-E34-F34</f>
        <v>12040</v>
      </c>
      <c r="H35" s="132">
        <v>300</v>
      </c>
      <c r="I35" s="25">
        <v>600</v>
      </c>
      <c r="J35" s="25">
        <v>100</v>
      </c>
      <c r="K35" s="170">
        <f t="shared" si="8"/>
        <v>1000</v>
      </c>
      <c r="L35" s="171">
        <v>-17</v>
      </c>
      <c r="M35" s="153"/>
      <c r="N35" s="149">
        <f t="shared" si="9"/>
        <v>13023</v>
      </c>
      <c r="O35" s="67">
        <f t="shared" si="2"/>
        <v>236772.93275862088</v>
      </c>
      <c r="P35" s="7">
        <f t="shared" si="5"/>
        <v>6866415.0500000054</v>
      </c>
      <c r="Q35" s="164">
        <f>Q34+N35</f>
        <v>257367.45000000019</v>
      </c>
      <c r="R35" s="29">
        <f t="shared" si="3"/>
        <v>244.06628096052364</v>
      </c>
      <c r="S35" s="5">
        <f>SUM($Q$7:$Q35)/T35</f>
        <v>401122.93275862059</v>
      </c>
      <c r="T35" s="18">
        <v>29</v>
      </c>
      <c r="U35" s="4"/>
      <c r="V35" s="131"/>
      <c r="W35" s="105">
        <v>-2757651</v>
      </c>
      <c r="X35" s="167"/>
      <c r="Y35" s="156">
        <f>Y34-K35-L35-1</f>
        <v>-2757651</v>
      </c>
      <c r="Z35" s="217"/>
      <c r="AA35" s="92"/>
      <c r="AD35" s="1"/>
      <c r="AE35" s="1"/>
    </row>
    <row r="36" spans="2:31">
      <c r="B36" s="116">
        <v>44847</v>
      </c>
      <c r="C36" s="14" t="str">
        <f t="shared" si="0"/>
        <v/>
      </c>
      <c r="D36" s="87"/>
      <c r="E36" s="87">
        <v>0</v>
      </c>
      <c r="F36" s="23">
        <v>-4631277</v>
      </c>
      <c r="G36" s="26">
        <f>D36+E36+F36-E35-F35</f>
        <v>-11327</v>
      </c>
      <c r="H36" s="132">
        <v>300</v>
      </c>
      <c r="I36" s="25">
        <v>-10500</v>
      </c>
      <c r="J36" s="25">
        <v>100</v>
      </c>
      <c r="K36" s="170">
        <f t="shared" si="8"/>
        <v>-10100</v>
      </c>
      <c r="L36" s="171">
        <v>-14</v>
      </c>
      <c r="M36" s="153"/>
      <c r="N36" s="149">
        <f t="shared" si="9"/>
        <v>-21441</v>
      </c>
      <c r="O36" s="67">
        <f t="shared" si="2"/>
        <v>231266.31666666685</v>
      </c>
      <c r="P36" s="7">
        <f t="shared" si="5"/>
        <v>6937989.5000000056</v>
      </c>
      <c r="Q36" s="164">
        <f>Q35+N36-2</f>
        <v>235924.45000000019</v>
      </c>
      <c r="R36" s="29">
        <f t="shared" si="3"/>
        <v>240.70113578744542</v>
      </c>
      <c r="S36" s="5">
        <f>SUM($Q$7:$Q36)/T36-24</f>
        <v>395592.31666666653</v>
      </c>
      <c r="T36" s="18">
        <v>30</v>
      </c>
      <c r="U36" s="4"/>
      <c r="V36" s="136"/>
      <c r="W36" s="105">
        <v>-2747534</v>
      </c>
      <c r="X36" s="167"/>
      <c r="Y36" s="156">
        <f>Y35-K36-L36+3</f>
        <v>-2747534</v>
      </c>
      <c r="Z36" s="217"/>
      <c r="AD36" s="1"/>
      <c r="AE36" s="1"/>
    </row>
    <row r="37" spans="2:31">
      <c r="B37" s="116">
        <v>44848</v>
      </c>
      <c r="C37" s="14"/>
      <c r="D37" s="87"/>
      <c r="E37" s="87">
        <v>5</v>
      </c>
      <c r="F37" s="23">
        <v>-4619745</v>
      </c>
      <c r="G37" s="26">
        <f>D37+E37+F37-E36-F36</f>
        <v>11537</v>
      </c>
      <c r="H37" s="132">
        <v>2800</v>
      </c>
      <c r="I37" s="25">
        <v>-18200</v>
      </c>
      <c r="J37" s="25">
        <v>100</v>
      </c>
      <c r="K37" s="170">
        <f t="shared" si="8"/>
        <v>-15300</v>
      </c>
      <c r="L37" s="171">
        <v>30</v>
      </c>
      <c r="M37" s="153"/>
      <c r="N37" s="149">
        <f t="shared" si="9"/>
        <v>-3733</v>
      </c>
      <c r="O37" s="67">
        <f t="shared" si="2"/>
        <v>225994.45000000019</v>
      </c>
      <c r="P37" s="7">
        <f t="shared" si="5"/>
        <v>7005827.9500000058</v>
      </c>
      <c r="Q37" s="164">
        <f>Q36+N37-3</f>
        <v>232188.45000000019</v>
      </c>
      <c r="R37" s="29">
        <f t="shared" si="3"/>
        <v>237.50864009735312</v>
      </c>
      <c r="S37" s="5">
        <f>SUM($Q$7:$Q37)/T37+1</f>
        <v>390345.44999999984</v>
      </c>
      <c r="T37" s="18">
        <v>31</v>
      </c>
      <c r="U37" s="27"/>
      <c r="V37" s="137"/>
      <c r="W37" s="105">
        <v>-2732262</v>
      </c>
      <c r="X37" s="167"/>
      <c r="Y37" s="156">
        <f>Y36-K37-L37+2</f>
        <v>-2732262</v>
      </c>
      <c r="Z37" s="217"/>
      <c r="AA37" s="92"/>
      <c r="AD37" s="1"/>
      <c r="AE37" s="1"/>
    </row>
    <row r="38" spans="2:31">
      <c r="B38" s="116">
        <v>44849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221052.07500000019</v>
      </c>
      <c r="P38" s="7">
        <f t="shared" si="5"/>
        <v>7073666.400000006</v>
      </c>
      <c r="Q38" s="164">
        <f t="shared" si="12"/>
        <v>232188.45000000019</v>
      </c>
      <c r="R38" s="29">
        <f t="shared" si="3"/>
        <v>234.50080620626701</v>
      </c>
      <c r="S38" s="5">
        <f>SUM($Q$7:$Q38)/T38</f>
        <v>385402.07499999984</v>
      </c>
      <c r="T38" s="18">
        <v>32</v>
      </c>
      <c r="U38" s="27"/>
      <c r="V38" s="137"/>
      <c r="W38" s="105">
        <v>-2732262</v>
      </c>
      <c r="X38" s="167"/>
      <c r="Y38" s="156">
        <f t="shared" si="7"/>
        <v>-2732262</v>
      </c>
      <c r="Z38" s="217"/>
      <c r="AD38" s="1"/>
      <c r="AE38" s="1"/>
    </row>
    <row r="39" spans="2:31">
      <c r="B39" s="116">
        <v>44850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216409.23787878806</v>
      </c>
      <c r="P39" s="7">
        <f t="shared" si="5"/>
        <v>7141504.8500000061</v>
      </c>
      <c r="Q39" s="164">
        <f t="shared" si="12"/>
        <v>232188.45000000019</v>
      </c>
      <c r="R39" s="29">
        <f t="shared" si="3"/>
        <v>231.67705377474149</v>
      </c>
      <c r="S39" s="5">
        <f>SUM($Q$7:$Q39)/T39+2</f>
        <v>380761.23787878768</v>
      </c>
      <c r="T39" s="18">
        <v>33</v>
      </c>
      <c r="U39" s="27"/>
      <c r="V39" s="137"/>
      <c r="W39" s="105">
        <v>-2732262</v>
      </c>
      <c r="X39" s="167"/>
      <c r="Y39" s="156">
        <f t="shared" si="7"/>
        <v>-2732262</v>
      </c>
      <c r="Z39" s="217"/>
      <c r="AD39" s="1"/>
      <c r="AE39" s="1"/>
    </row>
    <row r="40" spans="2:31">
      <c r="B40" s="116">
        <v>44851</v>
      </c>
      <c r="C40" s="14"/>
      <c r="D40" s="87"/>
      <c r="E40" s="87">
        <v>10</v>
      </c>
      <c r="F40" s="23">
        <v>-4620895</v>
      </c>
      <c r="G40" s="26">
        <f>D40+E40+F40-E37-F37</f>
        <v>-1145</v>
      </c>
      <c r="H40" s="132">
        <v>300</v>
      </c>
      <c r="I40" s="25">
        <v>3300</v>
      </c>
      <c r="J40" s="25">
        <v>400</v>
      </c>
      <c r="K40" s="170">
        <f t="shared" si="8"/>
        <v>4000</v>
      </c>
      <c r="L40" s="171">
        <v>-21</v>
      </c>
      <c r="M40" s="153"/>
      <c r="N40" s="149">
        <f t="shared" si="9"/>
        <v>2834</v>
      </c>
      <c r="O40" s="67">
        <f t="shared" si="2"/>
        <v>212122.86176470606</v>
      </c>
      <c r="P40" s="7">
        <f t="shared" si="5"/>
        <v>7212177.3000000063</v>
      </c>
      <c r="Q40" s="164">
        <f>Q39+N40</f>
        <v>235022.45000000019</v>
      </c>
      <c r="R40" s="29">
        <f t="shared" si="3"/>
        <v>229.06836736519969</v>
      </c>
      <c r="S40" s="5">
        <f>SUM($Q$7:$Q40)/T40+1</f>
        <v>376473.86176470568</v>
      </c>
      <c r="T40" s="18">
        <v>34</v>
      </c>
      <c r="U40" s="138">
        <f>B40</f>
        <v>44851</v>
      </c>
      <c r="V40" s="131">
        <v>2213.5</v>
      </c>
      <c r="W40" s="105">
        <v>-2736240</v>
      </c>
      <c r="X40" s="167">
        <f>AVERAGE(W40:W48)</f>
        <v>-2725340.777777778</v>
      </c>
      <c r="Y40" s="156">
        <f>Y39-K40-L40+1</f>
        <v>-2736240</v>
      </c>
      <c r="Z40" s="217">
        <f>AVERAGE(Y40:Y48)</f>
        <v>-2723678.4444444445</v>
      </c>
      <c r="AD40" s="1"/>
      <c r="AE40" s="1"/>
    </row>
    <row r="41" spans="2:31">
      <c r="B41" s="116">
        <v>44852</v>
      </c>
      <c r="C41" s="14" t="str">
        <f t="shared" si="0"/>
        <v/>
      </c>
      <c r="D41" s="87"/>
      <c r="E41" s="87">
        <v>544</v>
      </c>
      <c r="F41" s="23">
        <v>-4625218</v>
      </c>
      <c r="G41" s="26">
        <f>D41+E41+F41-E40-F40</f>
        <v>-3789</v>
      </c>
      <c r="H41" s="132">
        <v>300</v>
      </c>
      <c r="I41" s="25">
        <v>-5300</v>
      </c>
      <c r="J41" s="25">
        <v>400</v>
      </c>
      <c r="K41" s="170">
        <f t="shared" si="8"/>
        <v>-4600</v>
      </c>
      <c r="L41" s="171">
        <v>36</v>
      </c>
      <c r="M41" s="153"/>
      <c r="N41" s="149">
        <f t="shared" si="9"/>
        <v>-8353</v>
      </c>
      <c r="O41" s="67">
        <f t="shared" si="2"/>
        <v>207842.70714285734</v>
      </c>
      <c r="P41" s="7">
        <f t="shared" si="5"/>
        <v>7274494.7500000065</v>
      </c>
      <c r="Q41" s="164">
        <f>Q40+N41-2</f>
        <v>226667.45000000019</v>
      </c>
      <c r="R41" s="29">
        <f t="shared" si="3"/>
        <v>226.46407492720226</v>
      </c>
      <c r="S41" s="5">
        <f>SUM($Q$7:$Q41)/T41+1</f>
        <v>372193.7071428569</v>
      </c>
      <c r="T41" s="18">
        <v>35</v>
      </c>
      <c r="U41" s="138">
        <f>B40+8</f>
        <v>44859</v>
      </c>
      <c r="V41" s="137"/>
      <c r="W41" s="105">
        <v>-2731675</v>
      </c>
      <c r="X41" s="167"/>
      <c r="Y41" s="156">
        <f>Y40-K41-L41+1</f>
        <v>-2731675</v>
      </c>
      <c r="Z41" s="217"/>
      <c r="AD41" s="1"/>
      <c r="AE41" s="1"/>
    </row>
    <row r="42" spans="2:31">
      <c r="B42" s="116">
        <v>44853</v>
      </c>
      <c r="C42" s="14" t="str">
        <f t="shared" si="0"/>
        <v/>
      </c>
      <c r="D42" s="87">
        <f>-3622+3640</f>
        <v>18</v>
      </c>
      <c r="E42" s="87">
        <v>0</v>
      </c>
      <c r="F42" s="23">
        <v>-4624940</v>
      </c>
      <c r="G42" s="26">
        <f>D42+E42+F42-E41-F41</f>
        <v>-248</v>
      </c>
      <c r="H42" s="132">
        <v>-15300</v>
      </c>
      <c r="I42" s="25">
        <v>12800</v>
      </c>
      <c r="J42" s="25">
        <v>400</v>
      </c>
      <c r="K42" s="170">
        <f t="shared" si="8"/>
        <v>-2100</v>
      </c>
      <c r="L42" s="171">
        <v>50</v>
      </c>
      <c r="M42" s="153"/>
      <c r="N42" s="149">
        <f t="shared" si="9"/>
        <v>-2298</v>
      </c>
      <c r="O42" s="67">
        <f t="shared" si="2"/>
        <v>203736.47777777797</v>
      </c>
      <c r="P42" s="7">
        <f t="shared" si="5"/>
        <v>7334513.2000000067</v>
      </c>
      <c r="Q42" s="164">
        <f>Q41+N42-1</f>
        <v>224368.45000000019</v>
      </c>
      <c r="R42" s="29">
        <f t="shared" si="3"/>
        <v>223.96560862657591</v>
      </c>
      <c r="S42" s="5">
        <f>SUM($Q$7:$Q42)/T42+1</f>
        <v>368087.47777777753</v>
      </c>
      <c r="T42" s="18">
        <v>36</v>
      </c>
      <c r="U42" s="138"/>
      <c r="V42" s="137"/>
      <c r="W42" s="105">
        <v>-2729624</v>
      </c>
      <c r="X42" s="167"/>
      <c r="Y42" s="156">
        <f t="shared" ref="Y42:Y55" si="13">Y41-K42-L42+1</f>
        <v>-2729624</v>
      </c>
      <c r="Z42" s="217"/>
      <c r="AD42" s="1"/>
      <c r="AE42" s="1"/>
    </row>
    <row r="43" spans="2:31">
      <c r="B43" s="116">
        <v>44854</v>
      </c>
      <c r="C43" s="14" t="str">
        <f t="shared" si="0"/>
        <v/>
      </c>
      <c r="D43" s="87"/>
      <c r="E43" s="87">
        <v>1</v>
      </c>
      <c r="F43" s="23">
        <v>-4624067</v>
      </c>
      <c r="G43" s="26">
        <f>D43+E43+F43-E42-F42</f>
        <v>874</v>
      </c>
      <c r="H43" s="132">
        <v>-11700</v>
      </c>
      <c r="I43" s="25">
        <v>2000</v>
      </c>
      <c r="J43" s="25">
        <v>400</v>
      </c>
      <c r="K43" s="170">
        <f t="shared" si="8"/>
        <v>-9300</v>
      </c>
      <c r="L43" s="171">
        <v>9</v>
      </c>
      <c r="M43" s="153"/>
      <c r="N43" s="149">
        <f t="shared" si="9"/>
        <v>-8417</v>
      </c>
      <c r="O43" s="67">
        <f t="shared" si="2"/>
        <v>199624.77432432451</v>
      </c>
      <c r="P43" s="7">
        <f t="shared" si="5"/>
        <v>7386116.6500000069</v>
      </c>
      <c r="Q43" s="164">
        <f>Q42+N43+2</f>
        <v>215953.45000000019</v>
      </c>
      <c r="R43" s="29">
        <f t="shared" si="3"/>
        <v>221.40600810728571</v>
      </c>
      <c r="S43" s="5">
        <f>SUM($Q$7:$Q43)/T43-94</f>
        <v>363880.7743243241</v>
      </c>
      <c r="T43" s="18">
        <v>37</v>
      </c>
      <c r="U43" s="138"/>
      <c r="V43" s="137"/>
      <c r="W43" s="105">
        <v>-2720335</v>
      </c>
      <c r="X43" s="167"/>
      <c r="Y43" s="156">
        <f>Y42-K43-L43-2</f>
        <v>-2720335</v>
      </c>
      <c r="Z43" s="217"/>
      <c r="AD43" s="1"/>
      <c r="AE43" s="1"/>
    </row>
    <row r="44" spans="2:31">
      <c r="B44" s="116">
        <v>44855</v>
      </c>
      <c r="C44" s="14" t="str">
        <f t="shared" si="0"/>
        <v/>
      </c>
      <c r="D44" s="87"/>
      <c r="E44" s="87">
        <v>0</v>
      </c>
      <c r="F44" s="23">
        <v>-4623036</v>
      </c>
      <c r="G44" s="26">
        <f>D44+E44+F44-E43-F43</f>
        <v>1030</v>
      </c>
      <c r="H44" s="132">
        <v>2000</v>
      </c>
      <c r="I44" s="25">
        <v>-3700</v>
      </c>
      <c r="J44" s="25">
        <v>400</v>
      </c>
      <c r="K44" s="170">
        <f t="shared" si="8"/>
        <v>-1300</v>
      </c>
      <c r="L44" s="171">
        <v>-30</v>
      </c>
      <c r="M44" s="153"/>
      <c r="N44" s="149">
        <f t="shared" si="9"/>
        <v>-300</v>
      </c>
      <c r="O44" s="67">
        <f t="shared" si="2"/>
        <v>195721.55526315808</v>
      </c>
      <c r="P44" s="7">
        <f t="shared" si="5"/>
        <v>7437419.1000000071</v>
      </c>
      <c r="Q44" s="164">
        <f>Q43+N44-1</f>
        <v>215652.45000000019</v>
      </c>
      <c r="R44" s="29">
        <f t="shared" si="3"/>
        <v>219.08886842905849</v>
      </c>
      <c r="S44" s="5">
        <f>SUM($Q$7:$Q44)/T44+1</f>
        <v>360072.55526315764</v>
      </c>
      <c r="T44" s="18">
        <v>38</v>
      </c>
      <c r="U44" s="138"/>
      <c r="V44" s="137"/>
      <c r="W44" s="105">
        <v>-2719004</v>
      </c>
      <c r="X44" s="167"/>
      <c r="Y44" s="156">
        <f>Y43-K44-L44+1</f>
        <v>-2719004</v>
      </c>
      <c r="Z44" s="217"/>
      <c r="AD44" s="1"/>
      <c r="AE44" s="1"/>
    </row>
    <row r="45" spans="2:31">
      <c r="B45" s="116">
        <v>44856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192018.50128205147</v>
      </c>
      <c r="P45" s="7">
        <f t="shared" si="5"/>
        <v>7488721.5500000073</v>
      </c>
      <c r="Q45" s="164">
        <f t="shared" ref="Q45:Q46" si="14">Q44+N45</f>
        <v>215652.45000000019</v>
      </c>
      <c r="R45" s="29">
        <f t="shared" si="3"/>
        <v>216.83571723885063</v>
      </c>
      <c r="S45" s="5">
        <f>SUM($Q$7:$Q45)/T45+1</f>
        <v>356369.50128205103</v>
      </c>
      <c r="T45" s="18">
        <v>39</v>
      </c>
      <c r="U45" s="138"/>
      <c r="V45" s="137"/>
      <c r="W45" s="105">
        <v>-2719004</v>
      </c>
      <c r="X45" s="167"/>
      <c r="Y45" s="156">
        <f>Y44-K45-L45</f>
        <v>-2719004</v>
      </c>
      <c r="Z45" s="217"/>
      <c r="AD45" s="1"/>
      <c r="AE45" s="1"/>
    </row>
    <row r="46" spans="2:31">
      <c r="B46" s="116">
        <v>44857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188500.60000000018</v>
      </c>
      <c r="P46" s="7">
        <f t="shared" si="5"/>
        <v>7540024.0000000075</v>
      </c>
      <c r="Q46" s="164">
        <f t="shared" si="14"/>
        <v>215652.45000000019</v>
      </c>
      <c r="R46" s="29">
        <f t="shared" si="3"/>
        <v>214.69522360815319</v>
      </c>
      <c r="S46" s="5">
        <f>SUM($Q$7:$Q46)/T46+1</f>
        <v>352851.59999999974</v>
      </c>
      <c r="T46" s="18">
        <v>40</v>
      </c>
      <c r="U46" s="138"/>
      <c r="V46" s="137"/>
      <c r="W46" s="105">
        <v>-2719004</v>
      </c>
      <c r="X46" s="167"/>
      <c r="Y46" s="156">
        <f>Y45-K46-L46</f>
        <v>-2719004</v>
      </c>
      <c r="Z46" s="217"/>
      <c r="AD46" s="1"/>
      <c r="AE46" s="1"/>
    </row>
    <row r="47" spans="2:31">
      <c r="B47" s="116">
        <v>44858</v>
      </c>
      <c r="C47" s="14" t="str">
        <f t="shared" si="0"/>
        <v/>
      </c>
      <c r="D47" s="87"/>
      <c r="E47" s="87">
        <v>104</v>
      </c>
      <c r="F47" s="23">
        <v>-4609687</v>
      </c>
      <c r="G47" s="26">
        <f>D47+E47+F47-E44-F44</f>
        <v>13453</v>
      </c>
      <c r="H47" s="132">
        <v>-3300</v>
      </c>
      <c r="I47" s="25">
        <v>-9700</v>
      </c>
      <c r="J47" s="25">
        <v>-600</v>
      </c>
      <c r="K47" s="170">
        <f t="shared" si="8"/>
        <v>-13600</v>
      </c>
      <c r="L47" s="171">
        <v>-29</v>
      </c>
      <c r="M47" s="153"/>
      <c r="N47" s="149">
        <f t="shared" si="9"/>
        <v>-176</v>
      </c>
      <c r="O47" s="67">
        <f t="shared" si="2"/>
        <v>185150.01097560994</v>
      </c>
      <c r="P47" s="7">
        <f t="shared" si="5"/>
        <v>7591150.4500000076</v>
      </c>
      <c r="Q47" s="164">
        <f>Q46+N47</f>
        <v>215476.45000000019</v>
      </c>
      <c r="R47" s="29">
        <f t="shared" si="3"/>
        <v>221.45665407703649</v>
      </c>
      <c r="S47" s="5">
        <f>SUM($Q$7:$Q47)/T47+1+14465-2</f>
        <v>363964.01097560948</v>
      </c>
      <c r="T47" s="18">
        <v>41</v>
      </c>
      <c r="U47" s="138">
        <f>B47</f>
        <v>44858</v>
      </c>
      <c r="V47" s="137">
        <v>2208.5</v>
      </c>
      <c r="W47" s="105">
        <v>-2720335</v>
      </c>
      <c r="X47" s="167">
        <f>AVERAGE(W47:W55)</f>
        <v>-2697910</v>
      </c>
      <c r="Y47" s="156">
        <f t="shared" si="13"/>
        <v>-2705374</v>
      </c>
      <c r="Z47" s="217">
        <f>AVERAGE(Y47:Y55)</f>
        <v>-2696247</v>
      </c>
      <c r="AD47" s="1"/>
      <c r="AE47" s="1"/>
    </row>
    <row r="48" spans="2:31">
      <c r="B48" s="116">
        <v>44859</v>
      </c>
      <c r="C48" s="14" t="str">
        <f t="shared" si="0"/>
        <v/>
      </c>
      <c r="D48" s="87"/>
      <c r="E48" s="87">
        <v>2</v>
      </c>
      <c r="F48" s="23">
        <v>-4634163</v>
      </c>
      <c r="G48" s="26">
        <f>D48+E48+F48-E47-F47</f>
        <v>-24578</v>
      </c>
      <c r="H48" s="132">
        <v>300</v>
      </c>
      <c r="I48" s="25">
        <v>27800</v>
      </c>
      <c r="J48" s="25">
        <v>-600</v>
      </c>
      <c r="K48" s="170">
        <f t="shared" si="8"/>
        <v>27500</v>
      </c>
      <c r="L48" s="171">
        <v>-27</v>
      </c>
      <c r="M48" s="153"/>
      <c r="N48" s="149">
        <f t="shared" si="9"/>
        <v>2895</v>
      </c>
      <c r="O48" s="67">
        <f t="shared" si="2"/>
        <v>182027.61666666684</v>
      </c>
      <c r="P48" s="7">
        <f t="shared" si="5"/>
        <v>7645159.9000000078</v>
      </c>
      <c r="Q48" s="164">
        <f>Q47+N48-2-10</f>
        <v>218359.45000000019</v>
      </c>
      <c r="R48" s="29">
        <f t="shared" si="3"/>
        <v>210.75607950512102</v>
      </c>
      <c r="S48" s="5">
        <f>SUM($Q$7:$Q48)/T48</f>
        <v>346377.61666666635</v>
      </c>
      <c r="T48" s="18">
        <v>42</v>
      </c>
      <c r="U48" s="138">
        <f>B47+8</f>
        <v>44866</v>
      </c>
      <c r="V48" s="137"/>
      <c r="W48" s="105">
        <v>-2732846</v>
      </c>
      <c r="X48" s="167"/>
      <c r="Y48" s="156">
        <f t="shared" si="13"/>
        <v>-2732846</v>
      </c>
      <c r="Z48" s="217"/>
      <c r="AD48" s="1"/>
      <c r="AE48" s="1"/>
    </row>
    <row r="49" spans="2:31">
      <c r="B49" s="116">
        <v>44860</v>
      </c>
      <c r="C49" s="14" t="str">
        <f t="shared" si="0"/>
        <v/>
      </c>
      <c r="D49" s="87">
        <f>-3640+4588</f>
        <v>948</v>
      </c>
      <c r="E49" s="87">
        <v>0</v>
      </c>
      <c r="F49" s="23">
        <v>-4631814</v>
      </c>
      <c r="G49" s="26">
        <f t="shared" ref="G49:G51" si="15">D49+E49+F49-E48-F48</f>
        <v>3295</v>
      </c>
      <c r="H49" s="132">
        <v>300</v>
      </c>
      <c r="I49" s="25">
        <v>-6600</v>
      </c>
      <c r="J49" s="25">
        <v>-600</v>
      </c>
      <c r="K49" s="170">
        <f t="shared" si="8"/>
        <v>-6900</v>
      </c>
      <c r="L49" s="171">
        <v>21</v>
      </c>
      <c r="M49" s="153"/>
      <c r="N49" s="149">
        <f t="shared" si="9"/>
        <v>-3584</v>
      </c>
      <c r="O49" s="67">
        <f t="shared" si="2"/>
        <v>178967.07790697692</v>
      </c>
      <c r="P49" s="7">
        <f t="shared" si="5"/>
        <v>7695584.350000008</v>
      </c>
      <c r="Q49" s="164">
        <f>Q48+N49-1</f>
        <v>214774.45000000019</v>
      </c>
      <c r="R49" s="29">
        <f t="shared" si="3"/>
        <v>208.84336958136686</v>
      </c>
      <c r="S49" s="5">
        <f>SUM($Q$7:$Q49)/T49-83</f>
        <v>343234.07790697645</v>
      </c>
      <c r="T49" s="18">
        <v>43</v>
      </c>
      <c r="U49" s="138"/>
      <c r="V49" s="137"/>
      <c r="W49" s="105">
        <v>-2725966</v>
      </c>
      <c r="X49" s="167"/>
      <c r="Y49" s="156">
        <f t="shared" si="13"/>
        <v>-2725966</v>
      </c>
      <c r="Z49" s="217"/>
      <c r="AD49" s="1"/>
      <c r="AE49" s="1"/>
    </row>
    <row r="50" spans="2:31">
      <c r="B50" s="116">
        <v>44861</v>
      </c>
      <c r="C50" s="14" t="str">
        <f t="shared" si="0"/>
        <v/>
      </c>
      <c r="D50" s="87">
        <f>-173+408</f>
        <v>235</v>
      </c>
      <c r="E50" s="87">
        <v>0</v>
      </c>
      <c r="F50" s="23">
        <v>-4590200</v>
      </c>
      <c r="G50" s="26">
        <f t="shared" si="15"/>
        <v>41849</v>
      </c>
      <c r="H50" s="132">
        <v>300</v>
      </c>
      <c r="I50" s="25">
        <v>-35000</v>
      </c>
      <c r="J50" s="25">
        <v>-600</v>
      </c>
      <c r="K50" s="170">
        <f t="shared" si="8"/>
        <v>-35300</v>
      </c>
      <c r="L50" s="171">
        <v>44</v>
      </c>
      <c r="M50" s="153"/>
      <c r="N50" s="149">
        <f t="shared" si="9"/>
        <v>6593</v>
      </c>
      <c r="O50" s="67">
        <f t="shared" si="2"/>
        <v>176195.47272727292</v>
      </c>
      <c r="P50" s="7">
        <f t="shared" si="5"/>
        <v>7752600.8000000082</v>
      </c>
      <c r="Q50" s="164">
        <f>Q49+N50-1</f>
        <v>221366.45000000019</v>
      </c>
      <c r="R50" s="29">
        <f t="shared" si="3"/>
        <v>207.15696545620469</v>
      </c>
      <c r="S50" s="5">
        <f>SUM($Q$7:$Q50)/T50-83</f>
        <v>340462.47272727243</v>
      </c>
      <c r="T50" s="18">
        <v>44</v>
      </c>
      <c r="U50" s="138"/>
      <c r="V50" s="137"/>
      <c r="W50" s="105">
        <v>-2690709</v>
      </c>
      <c r="X50" s="167"/>
      <c r="Y50" s="156">
        <f t="shared" si="13"/>
        <v>-2690709</v>
      </c>
      <c r="Z50" s="217"/>
      <c r="AD50" s="1"/>
      <c r="AE50" s="1"/>
    </row>
    <row r="51" spans="2:31">
      <c r="B51" s="116">
        <v>44862</v>
      </c>
      <c r="C51" s="14" t="str">
        <f t="shared" si="0"/>
        <v/>
      </c>
      <c r="D51" s="87"/>
      <c r="E51" s="87">
        <v>0</v>
      </c>
      <c r="F51" s="23">
        <v>-4567498</v>
      </c>
      <c r="G51" s="26">
        <f t="shared" si="15"/>
        <v>22702</v>
      </c>
      <c r="H51" s="132">
        <v>300</v>
      </c>
      <c r="I51" s="25">
        <v>-12800</v>
      </c>
      <c r="J51" s="25">
        <v>-600</v>
      </c>
      <c r="K51" s="170">
        <f t="shared" si="8"/>
        <v>-13100</v>
      </c>
      <c r="L51" s="171">
        <v>49</v>
      </c>
      <c r="M51" s="153"/>
      <c r="N51" s="149">
        <f t="shared" si="9"/>
        <v>9651</v>
      </c>
      <c r="O51" s="67">
        <f t="shared" si="2"/>
        <v>173761.49444444463</v>
      </c>
      <c r="P51" s="7">
        <f t="shared" si="5"/>
        <v>7819267.2500000084</v>
      </c>
      <c r="Q51" s="164">
        <f>Q50+N51-1</f>
        <v>231016.45000000019</v>
      </c>
      <c r="R51" s="29">
        <f t="shared" si="3"/>
        <v>205.67599296893468</v>
      </c>
      <c r="S51" s="5">
        <f>SUM($Q$7:$Q51)/T51-83</f>
        <v>338028.49444444414</v>
      </c>
      <c r="T51" s="18">
        <v>45</v>
      </c>
      <c r="U51" s="138"/>
      <c r="V51" s="137"/>
      <c r="W51" s="105">
        <v>-2677657</v>
      </c>
      <c r="X51" s="167"/>
      <c r="Y51" s="156">
        <f t="shared" si="13"/>
        <v>-2677657</v>
      </c>
      <c r="Z51" s="217"/>
      <c r="AD51" s="1"/>
      <c r="AE51" s="1"/>
    </row>
    <row r="52" spans="2:31">
      <c r="B52" s="116">
        <v>44863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171433.34130434803</v>
      </c>
      <c r="P52" s="7">
        <f t="shared" si="5"/>
        <v>7885933.7000000086</v>
      </c>
      <c r="Q52" s="164">
        <f>Q51+N52</f>
        <v>231016.45000000019</v>
      </c>
      <c r="R52" s="29">
        <f t="shared" si="3"/>
        <v>204.25941058980683</v>
      </c>
      <c r="S52" s="5">
        <f>SUM($Q$7:$Q52)/T52-83</f>
        <v>335700.3413043475</v>
      </c>
      <c r="T52" s="18">
        <v>46</v>
      </c>
      <c r="U52" s="138"/>
      <c r="V52" s="137"/>
      <c r="W52" s="105">
        <v>-2677657</v>
      </c>
      <c r="X52" s="167"/>
      <c r="Y52" s="156">
        <f t="shared" si="13"/>
        <v>-2677656</v>
      </c>
      <c r="Z52" s="217"/>
      <c r="AD52" s="1"/>
      <c r="AE52" s="1"/>
    </row>
    <row r="53" spans="2:31">
      <c r="B53" s="116">
        <v>44864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169204.25851063849</v>
      </c>
      <c r="P53" s="7">
        <f t="shared" si="5"/>
        <v>7952600.1500000088</v>
      </c>
      <c r="Q53" s="164">
        <f>Q52+N53</f>
        <v>231016.45000000019</v>
      </c>
      <c r="R53" s="29">
        <f t="shared" si="3"/>
        <v>202.94874262892483</v>
      </c>
      <c r="S53" s="5">
        <f>SUM($Q$7:$Q53)/T53-8</f>
        <v>333546.25851063797</v>
      </c>
      <c r="T53" s="18">
        <v>47</v>
      </c>
      <c r="U53" s="138"/>
      <c r="V53" s="137"/>
      <c r="W53" s="105">
        <v>-2677657</v>
      </c>
      <c r="X53" s="167"/>
      <c r="Y53" s="156">
        <f t="shared" si="13"/>
        <v>-2677655</v>
      </c>
      <c r="Z53" s="217"/>
      <c r="AD53" s="1"/>
      <c r="AE53" s="1"/>
    </row>
    <row r="54" spans="2:31">
      <c r="B54" s="116">
        <v>44865</v>
      </c>
      <c r="C54" s="14" t="str">
        <f t="shared" si="0"/>
        <v/>
      </c>
      <c r="D54" s="87"/>
      <c r="E54" s="87">
        <v>61</v>
      </c>
      <c r="F54" s="23">
        <v>-4515548</v>
      </c>
      <c r="G54" s="26">
        <f>D54+E54+F54-E51-F51</f>
        <v>52011</v>
      </c>
      <c r="H54" s="132">
        <v>300</v>
      </c>
      <c r="I54" s="25">
        <v>-4300</v>
      </c>
      <c r="J54" s="25">
        <v>100</v>
      </c>
      <c r="K54" s="170">
        <f t="shared" si="8"/>
        <v>-3900</v>
      </c>
      <c r="L54" s="171">
        <v>-72</v>
      </c>
      <c r="M54" s="153"/>
      <c r="N54" s="149">
        <f t="shared" si="9"/>
        <v>48039</v>
      </c>
      <c r="O54" s="67">
        <f t="shared" si="2"/>
        <v>168068.86666666684</v>
      </c>
      <c r="P54" s="7">
        <f t="shared" si="5"/>
        <v>8067305.6000000089</v>
      </c>
      <c r="Q54" s="164">
        <f>Q53+N54</f>
        <v>279055.45000000019</v>
      </c>
      <c r="R54" s="29">
        <f t="shared" si="3"/>
        <v>202.25790487780122</v>
      </c>
      <c r="S54" s="5">
        <f>SUM($Q$7:$Q54)/T54-8</f>
        <v>332410.86666666629</v>
      </c>
      <c r="T54" s="18">
        <v>48</v>
      </c>
      <c r="U54" s="138"/>
      <c r="V54" s="137"/>
      <c r="W54" s="105">
        <v>-2673685</v>
      </c>
      <c r="X54" s="167"/>
      <c r="Y54" s="156">
        <f t="shared" si="13"/>
        <v>-2673682</v>
      </c>
      <c r="Z54" s="217"/>
      <c r="AD54" s="1"/>
      <c r="AE54" s="1"/>
    </row>
    <row r="55" spans="2:31">
      <c r="B55" s="116">
        <v>44866</v>
      </c>
      <c r="C55" s="14" t="str">
        <f t="shared" si="0"/>
        <v/>
      </c>
      <c r="D55" s="87"/>
      <c r="E55" s="87">
        <v>26</v>
      </c>
      <c r="F55" s="23">
        <v>-4513481</v>
      </c>
      <c r="G55" s="26">
        <f>D55+E55+F55-E54-F54</f>
        <v>2032</v>
      </c>
      <c r="H55" s="132">
        <v>300</v>
      </c>
      <c r="I55" s="25">
        <v>30600</v>
      </c>
      <c r="J55" s="25">
        <v>100</v>
      </c>
      <c r="K55" s="170">
        <f t="shared" si="8"/>
        <v>31000</v>
      </c>
      <c r="L55" s="171">
        <v>-3</v>
      </c>
      <c r="M55" s="153"/>
      <c r="N55" s="149">
        <f t="shared" si="9"/>
        <v>33029</v>
      </c>
      <c r="O55" s="67">
        <f t="shared" si="2"/>
        <v>167653.81734693897</v>
      </c>
      <c r="P55" s="7">
        <f t="shared" si="5"/>
        <v>8215037.0500000091</v>
      </c>
      <c r="Q55" s="164">
        <f>Q54+N55-3</f>
        <v>312081.45000000019</v>
      </c>
      <c r="R55" s="29">
        <f t="shared" si="3"/>
        <v>201.95973066439819</v>
      </c>
      <c r="S55" s="5">
        <f>SUM($Q$7:$Q55)/T55-83</f>
        <v>331920.81734693842</v>
      </c>
      <c r="T55" s="18">
        <v>49</v>
      </c>
      <c r="U55" s="138"/>
      <c r="V55" s="137"/>
      <c r="W55" s="105">
        <v>-2704678</v>
      </c>
      <c r="X55" s="167"/>
      <c r="Y55" s="156">
        <f t="shared" si="13"/>
        <v>-2704678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'AUG 2022 '!Q55</f>
        <v>3525641.45</v>
      </c>
    </row>
    <row r="60" spans="2:31">
      <c r="D60" s="138" t="s">
        <v>4</v>
      </c>
      <c r="E60" s="139"/>
      <c r="F60" s="143"/>
      <c r="G60" s="91">
        <f>'AUG 2022 '!E55</f>
        <v>15</v>
      </c>
    </row>
    <row r="61" spans="2:31">
      <c r="D61" s="138" t="s">
        <v>60</v>
      </c>
      <c r="E61" s="144"/>
      <c r="F61" s="143"/>
      <c r="G61" s="91">
        <f>'AUG 2022 '!F55</f>
        <v>-1323065</v>
      </c>
    </row>
    <row r="62" spans="2:31" ht="12.75" thickBot="1">
      <c r="D62" s="140" t="s">
        <v>46</v>
      </c>
      <c r="E62" s="145"/>
      <c r="F62" s="146"/>
      <c r="G62" s="158">
        <f>'AUG 2022 '!Y55</f>
        <v>-2719611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EC0-FA2A-4453-AC84-A5B5B741E201}">
  <sheetPr codeName="Sheet36">
    <pageSetUpPr fitToPage="1"/>
  </sheetPr>
  <dimension ref="B1:IU65513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167187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44867</v>
      </c>
      <c r="C7" s="196" t="str">
        <f t="shared" ref="C7:C55" si="0">IF(OR(WEEKDAY(B7)=1,WEEKDAY(B7)=7),"F","")</f>
        <v/>
      </c>
      <c r="D7" s="197">
        <f>-4588+3105</f>
        <v>-1483</v>
      </c>
      <c r="E7" s="197">
        <v>0</v>
      </c>
      <c r="F7" s="198">
        <v>-4413857</v>
      </c>
      <c r="G7" s="199">
        <f>D7+E7+F7-G60-G61</f>
        <v>98115</v>
      </c>
      <c r="H7" s="132">
        <v>10300</v>
      </c>
      <c r="I7" s="63">
        <v>10700</v>
      </c>
      <c r="J7" s="63">
        <v>100</v>
      </c>
      <c r="K7" s="170">
        <f t="shared" ref="K7:K9" si="1">+H7+I7+J7</f>
        <v>21100</v>
      </c>
      <c r="L7" s="169">
        <v>22</v>
      </c>
      <c r="M7" s="203"/>
      <c r="N7" s="204">
        <f>L7+K7+G7+M7</f>
        <v>119237</v>
      </c>
      <c r="O7" s="205">
        <f t="shared" ref="O7:O55" si="2">P7/T7</f>
        <v>264130.45000000019</v>
      </c>
      <c r="P7" s="206">
        <f>(+$Q7-$Q$3)</f>
        <v>264130.45000000019</v>
      </c>
      <c r="Q7" s="207">
        <f>G59+N7-1</f>
        <v>431317.45000000019</v>
      </c>
      <c r="R7" s="208">
        <f t="shared" ref="R7:R55" si="3">$S7/$Q$3*100</f>
        <v>257.98504070292557</v>
      </c>
      <c r="S7" s="209">
        <f>$Q7</f>
        <v>431317.45000000019</v>
      </c>
      <c r="T7" s="210">
        <v>1</v>
      </c>
      <c r="U7" s="211">
        <f>B7</f>
        <v>44867</v>
      </c>
      <c r="V7" s="212">
        <v>2206.5</v>
      </c>
      <c r="W7" s="213">
        <v>-2725800</v>
      </c>
      <c r="X7" s="214">
        <f>AVERAGE(W7:W11)</f>
        <v>-2732355.6</v>
      </c>
      <c r="Y7" s="215">
        <f>G62-K7-L7</f>
        <v>-2725800</v>
      </c>
      <c r="Z7" s="216">
        <f>AVERAGE(Y7:Y13)</f>
        <v>-2733526</v>
      </c>
      <c r="AA7" s="92"/>
    </row>
    <row r="8" spans="2:255">
      <c r="B8" s="116">
        <v>44868</v>
      </c>
      <c r="C8" s="14"/>
      <c r="D8" s="87"/>
      <c r="E8" s="128">
        <v>0</v>
      </c>
      <c r="F8" s="162">
        <v>-4564401</v>
      </c>
      <c r="G8" s="26">
        <f>D8+E8+F8-E7-F7</f>
        <v>-150544</v>
      </c>
      <c r="H8" s="132">
        <v>300</v>
      </c>
      <c r="I8" s="63">
        <v>-900</v>
      </c>
      <c r="J8" s="63">
        <v>100</v>
      </c>
      <c r="K8" s="170">
        <f t="shared" si="1"/>
        <v>-500</v>
      </c>
      <c r="L8" s="171">
        <v>17</v>
      </c>
      <c r="M8" s="153"/>
      <c r="N8" s="149">
        <f>L8+K8+G8+M8</f>
        <v>-151027</v>
      </c>
      <c r="O8" s="67">
        <f t="shared" si="2"/>
        <v>188616.95000000019</v>
      </c>
      <c r="P8" s="163">
        <f>(IF($Q8&lt;0,-$Q$3+P7,($Q8-$Q$3)+P7))</f>
        <v>377233.90000000037</v>
      </c>
      <c r="Q8" s="164">
        <f>Q7+N8</f>
        <v>280290.45000000019</v>
      </c>
      <c r="R8" s="29">
        <f t="shared" si="3"/>
        <v>212.81795235275482</v>
      </c>
      <c r="S8" s="165">
        <f>SUM($Q$7:$Q8)/T8</f>
        <v>355803.95000000019</v>
      </c>
      <c r="T8" s="166">
        <v>2</v>
      </c>
      <c r="U8" s="138">
        <f>B7+6</f>
        <v>44873</v>
      </c>
      <c r="V8" s="131"/>
      <c r="W8" s="105">
        <v>-2725317</v>
      </c>
      <c r="X8" s="167"/>
      <c r="Y8" s="156">
        <f>Y7-K8-L8</f>
        <v>-2725317</v>
      </c>
      <c r="Z8" s="217"/>
      <c r="AA8" s="92"/>
    </row>
    <row r="9" spans="2:255">
      <c r="B9" s="116">
        <v>44869</v>
      </c>
      <c r="C9" s="14" t="str">
        <f t="shared" si="0"/>
        <v/>
      </c>
      <c r="D9" s="87"/>
      <c r="E9" s="87">
        <v>0</v>
      </c>
      <c r="F9" s="23">
        <v>-4616064</v>
      </c>
      <c r="G9" s="26">
        <f>D9+E9+F9-E8-F8</f>
        <v>-51663</v>
      </c>
      <c r="H9" s="132">
        <v>300</v>
      </c>
      <c r="I9" s="63">
        <v>11200</v>
      </c>
      <c r="J9" s="63">
        <v>100</v>
      </c>
      <c r="K9" s="170">
        <f t="shared" si="1"/>
        <v>11600</v>
      </c>
      <c r="L9" s="171">
        <v>-27</v>
      </c>
      <c r="M9" s="153"/>
      <c r="N9" s="149">
        <f>L9+K9+G9+M9</f>
        <v>-40090</v>
      </c>
      <c r="O9" s="67">
        <f t="shared" si="2"/>
        <v>150081.45000000019</v>
      </c>
      <c r="P9" s="163">
        <f t="shared" ref="P9" si="4">(IF($Q9&lt;0,-$Q$3+P8,($Q9-$Q$3)+P8))</f>
        <v>450244.35000000056</v>
      </c>
      <c r="Q9" s="164">
        <f>Q8+N9-3</f>
        <v>240197.45000000019</v>
      </c>
      <c r="R9" s="29">
        <f t="shared" si="3"/>
        <v>189.76921052474188</v>
      </c>
      <c r="S9" s="5">
        <f>SUM($Q$7:$Q9)/T9+1</f>
        <v>317269.45000000019</v>
      </c>
      <c r="T9" s="17">
        <v>3</v>
      </c>
      <c r="U9" s="4"/>
      <c r="V9" s="131"/>
      <c r="W9" s="105">
        <v>-2736887</v>
      </c>
      <c r="X9" s="167"/>
      <c r="Y9" s="156">
        <f>Y8-K9-L9+3</f>
        <v>-2736887</v>
      </c>
      <c r="Z9" s="217"/>
      <c r="AA9" s="92"/>
    </row>
    <row r="10" spans="2:255">
      <c r="B10" s="116">
        <v>44870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130813.70000000019</v>
      </c>
      <c r="P10" s="163">
        <f>(IF($Q10&lt;0,-$Q$3+P9,($Q10-$Q$3)+P9))</f>
        <v>523254.80000000075</v>
      </c>
      <c r="Q10" s="164">
        <f>Q9+N10</f>
        <v>240197.45000000019</v>
      </c>
      <c r="R10" s="29">
        <f t="shared" si="3"/>
        <v>178.24334427916057</v>
      </c>
      <c r="S10" s="5">
        <f>SUM($Q$7:$Q10)/T10-1</f>
        <v>297999.70000000019</v>
      </c>
      <c r="T10" s="17">
        <v>4</v>
      </c>
      <c r="U10" s="27"/>
      <c r="V10" s="133"/>
      <c r="W10" s="105">
        <v>-2736887</v>
      </c>
      <c r="X10" s="167"/>
      <c r="Y10" s="156">
        <f>Y9-K10-L10</f>
        <v>-2736887</v>
      </c>
      <c r="Z10" s="217"/>
      <c r="AA10" s="92"/>
    </row>
    <row r="11" spans="2:255">
      <c r="B11" s="116">
        <v>44871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119253.05000000019</v>
      </c>
      <c r="P11" s="163">
        <f t="shared" ref="P11:P55" si="5">(IF($Q11&lt;0,-$Q$3+P10,($Q11-$Q$3)+P10))</f>
        <v>596265.25000000093</v>
      </c>
      <c r="Q11" s="164">
        <f t="shared" ref="Q11:Q18" si="6">Q10+N11</f>
        <v>240197.45000000019</v>
      </c>
      <c r="R11" s="29">
        <f t="shared" si="3"/>
        <v>171.3285422909677</v>
      </c>
      <c r="S11" s="5">
        <f>SUM($Q$7:$Q11)/T11-1</f>
        <v>286439.05000000016</v>
      </c>
      <c r="T11" s="17">
        <v>5</v>
      </c>
      <c r="U11" s="27"/>
      <c r="V11" s="134"/>
      <c r="W11" s="105">
        <v>-2736887</v>
      </c>
      <c r="X11" s="167"/>
      <c r="Y11" s="156">
        <f t="shared" ref="Y11:Y39" si="7">Y10-K11-L11</f>
        <v>-2736887</v>
      </c>
      <c r="Z11" s="217"/>
      <c r="AA11" s="92"/>
    </row>
    <row r="12" spans="2:255">
      <c r="B12" s="116">
        <v>44872</v>
      </c>
      <c r="C12" s="14" t="str">
        <f t="shared" si="0"/>
        <v/>
      </c>
      <c r="D12" s="87"/>
      <c r="E12" s="161">
        <v>0</v>
      </c>
      <c r="F12" s="23">
        <v>-4631098</v>
      </c>
      <c r="G12" s="26">
        <f>D12+E12+F12-E9-F9</f>
        <v>-15034</v>
      </c>
      <c r="H12" s="132">
        <v>300</v>
      </c>
      <c r="I12" s="63">
        <v>-5800</v>
      </c>
      <c r="J12" s="63">
        <v>400</v>
      </c>
      <c r="K12" s="170">
        <f t="shared" ref="K12:K55" si="8">+H12+I12+J12</f>
        <v>-5100</v>
      </c>
      <c r="L12" s="171">
        <v>-18</v>
      </c>
      <c r="M12" s="153"/>
      <c r="N12" s="149">
        <f t="shared" ref="N12:N55" si="9">L12+K12+G12+M12</f>
        <v>-20152</v>
      </c>
      <c r="O12" s="67">
        <f t="shared" si="2"/>
        <v>108187.28333333351</v>
      </c>
      <c r="P12" s="163">
        <f t="shared" si="5"/>
        <v>649123.70000000112</v>
      </c>
      <c r="Q12" s="164">
        <f>Q11+N12</f>
        <v>220045.45000000019</v>
      </c>
      <c r="R12" s="29">
        <f t="shared" si="3"/>
        <v>164.71034430507964</v>
      </c>
      <c r="S12" s="5">
        <f>SUM($Q$7:$Q12)/T12</f>
        <v>275374.2833333335</v>
      </c>
      <c r="T12" s="17">
        <v>6</v>
      </c>
      <c r="U12" s="138">
        <f>B12</f>
        <v>44872</v>
      </c>
      <c r="V12" s="310">
        <v>2192.9</v>
      </c>
      <c r="W12" s="105">
        <v>-2731769</v>
      </c>
      <c r="X12" s="167">
        <f>AVERAGE(W12:W20)</f>
        <v>-2774057.6666666665</v>
      </c>
      <c r="Y12" s="156">
        <f>Y11-K12-L12</f>
        <v>-2731769</v>
      </c>
      <c r="Z12" s="217">
        <f>AVERAGE(Y12:Y20)</f>
        <v>-2774058.111111111</v>
      </c>
      <c r="AA12" s="92"/>
    </row>
    <row r="13" spans="2:255">
      <c r="B13" s="116">
        <v>44873</v>
      </c>
      <c r="C13" s="14"/>
      <c r="D13" s="87"/>
      <c r="E13" s="87">
        <v>0</v>
      </c>
      <c r="F13" s="23">
        <v>-4648962</v>
      </c>
      <c r="G13" s="26">
        <f>D13+E13+F13-E12-F12</f>
        <v>-17864</v>
      </c>
      <c r="H13" s="132">
        <v>300</v>
      </c>
      <c r="I13" s="63">
        <v>8700</v>
      </c>
      <c r="J13" s="63">
        <v>400</v>
      </c>
      <c r="K13" s="170">
        <f t="shared" si="8"/>
        <v>9400</v>
      </c>
      <c r="L13" s="171">
        <v>-34</v>
      </c>
      <c r="M13" s="153"/>
      <c r="N13" s="149">
        <f t="shared" si="9"/>
        <v>-8498</v>
      </c>
      <c r="O13" s="67">
        <f t="shared" si="2"/>
        <v>99069.164285714476</v>
      </c>
      <c r="P13" s="163">
        <f t="shared" si="5"/>
        <v>693484.1500000013</v>
      </c>
      <c r="Q13" s="164">
        <f>Q12+N13</f>
        <v>211547.45000000019</v>
      </c>
      <c r="R13" s="29">
        <f t="shared" si="3"/>
        <v>159.25649977911826</v>
      </c>
      <c r="S13" s="5">
        <f>SUM($Q$7:$Q13)/T13</f>
        <v>266256.16428571445</v>
      </c>
      <c r="T13" s="17">
        <v>7</v>
      </c>
      <c r="U13" s="138">
        <f>B14+6</f>
        <v>44880</v>
      </c>
      <c r="V13" s="249"/>
      <c r="W13" s="105">
        <v>-2741135</v>
      </c>
      <c r="X13" s="167"/>
      <c r="Y13" s="156">
        <f t="shared" ref="Y13:Y14" si="10">Y12-K13-L13</f>
        <v>-2741135</v>
      </c>
      <c r="Z13" s="217"/>
      <c r="AA13" s="92"/>
      <c r="AB13" s="92"/>
    </row>
    <row r="14" spans="2:255">
      <c r="B14" s="116">
        <v>44874</v>
      </c>
      <c r="C14" s="14"/>
      <c r="D14" s="87">
        <f>-3105+1545</f>
        <v>-1560</v>
      </c>
      <c r="E14" s="87">
        <v>10</v>
      </c>
      <c r="F14" s="23">
        <v>-4682347</v>
      </c>
      <c r="G14" s="26">
        <f>D14+E14+F14-E13-F13</f>
        <v>-34935</v>
      </c>
      <c r="H14" s="132">
        <v>300</v>
      </c>
      <c r="I14" s="63">
        <v>27400</v>
      </c>
      <c r="J14" s="63">
        <v>500</v>
      </c>
      <c r="K14" s="170">
        <f t="shared" si="8"/>
        <v>28200</v>
      </c>
      <c r="L14" s="171">
        <v>45</v>
      </c>
      <c r="M14" s="154"/>
      <c r="N14" s="149">
        <f>L14+K14+G14+M14</f>
        <v>-6690</v>
      </c>
      <c r="O14" s="67">
        <f>P14/T14+1</f>
        <v>91395.450000000186</v>
      </c>
      <c r="P14" s="163">
        <f t="shared" si="5"/>
        <v>731155.60000000149</v>
      </c>
      <c r="Q14" s="164">
        <f>Q13+N14+1</f>
        <v>204858.45000000019</v>
      </c>
      <c r="R14" s="29">
        <f t="shared" si="3"/>
        <v>154.66600273944755</v>
      </c>
      <c r="S14" s="5">
        <f>SUM($Q$7:$Q14)/T14</f>
        <v>258581.45000000019</v>
      </c>
      <c r="T14" s="17">
        <v>8</v>
      </c>
      <c r="U14" s="4"/>
      <c r="V14" s="4"/>
      <c r="W14" s="105">
        <v>-2769380</v>
      </c>
      <c r="X14" s="167"/>
      <c r="Y14" s="156">
        <f t="shared" si="10"/>
        <v>-2769380</v>
      </c>
      <c r="Z14" s="217"/>
      <c r="AA14" s="92"/>
    </row>
    <row r="15" spans="2:255">
      <c r="B15" s="116">
        <v>44875</v>
      </c>
      <c r="C15" s="14" t="str">
        <f t="shared" si="0"/>
        <v/>
      </c>
      <c r="D15" s="87"/>
      <c r="E15" s="87">
        <v>0</v>
      </c>
      <c r="F15" s="23">
        <v>-4686434</v>
      </c>
      <c r="G15" s="26">
        <f>D15+E15+F15-E14-F14</f>
        <v>-4097</v>
      </c>
      <c r="H15" s="132">
        <v>300</v>
      </c>
      <c r="I15" s="63">
        <v>7800</v>
      </c>
      <c r="J15" s="63">
        <v>500</v>
      </c>
      <c r="K15" s="170">
        <f t="shared" si="8"/>
        <v>8600</v>
      </c>
      <c r="L15" s="172">
        <v>44</v>
      </c>
      <c r="M15" s="153"/>
      <c r="N15" s="149">
        <f>L15+K15+G15+M15</f>
        <v>4547</v>
      </c>
      <c r="O15" s="67">
        <f t="shared" si="2"/>
        <v>85930.338888889077</v>
      </c>
      <c r="P15" s="7">
        <f t="shared" si="5"/>
        <v>773373.05000000168</v>
      </c>
      <c r="Q15" s="164">
        <f>Q14+N15-1</f>
        <v>209404.45000000019</v>
      </c>
      <c r="R15" s="29">
        <f t="shared" si="3"/>
        <v>151.3971414577025</v>
      </c>
      <c r="S15" s="5">
        <f>SUM($Q$7:$Q15)/T15-1</f>
        <v>253116.33888888906</v>
      </c>
      <c r="T15" s="17">
        <v>9</v>
      </c>
      <c r="U15" s="4"/>
      <c r="V15" s="4"/>
      <c r="W15" s="105">
        <v>-2778024</v>
      </c>
      <c r="X15" s="167"/>
      <c r="Y15" s="156">
        <f>Y14-K15-L15</f>
        <v>-2778024</v>
      </c>
      <c r="Z15" s="217"/>
      <c r="AA15" s="92"/>
      <c r="AB15" s="92"/>
    </row>
    <row r="16" spans="2:255" s="69" customFormat="1">
      <c r="B16" s="116">
        <v>44876</v>
      </c>
      <c r="C16" s="14"/>
      <c r="D16" s="129"/>
      <c r="E16" s="87">
        <v>11</v>
      </c>
      <c r="F16" s="23">
        <v>-4691956</v>
      </c>
      <c r="G16" s="26">
        <f>D16+E16+F16-E15-F15</f>
        <v>-5511</v>
      </c>
      <c r="H16" s="132">
        <v>200</v>
      </c>
      <c r="I16" s="63">
        <v>10400</v>
      </c>
      <c r="J16" s="63">
        <v>500</v>
      </c>
      <c r="K16" s="170">
        <f t="shared" si="8"/>
        <v>11100</v>
      </c>
      <c r="L16" s="172">
        <v>34</v>
      </c>
      <c r="M16" s="153"/>
      <c r="N16" s="152">
        <f>L16+K16+G16+M16</f>
        <v>5623</v>
      </c>
      <c r="O16" s="67">
        <f t="shared" si="2"/>
        <v>82121.450000000186</v>
      </c>
      <c r="P16" s="70">
        <f t="shared" si="5"/>
        <v>821214.50000000186</v>
      </c>
      <c r="Q16" s="164">
        <f>Q15+N16+1</f>
        <v>215028.45000000019</v>
      </c>
      <c r="R16" s="71">
        <f t="shared" si="3"/>
        <v>149.11951886211259</v>
      </c>
      <c r="S16" s="72">
        <f>SUM($Q$7:$Q16)/T16</f>
        <v>249308.45000000019</v>
      </c>
      <c r="T16" s="73">
        <v>10</v>
      </c>
      <c r="U16" s="218"/>
      <c r="V16" s="133"/>
      <c r="W16" s="105">
        <v>-2789159</v>
      </c>
      <c r="X16" s="167"/>
      <c r="Y16" s="156">
        <f>Y15-K16-L16-1</f>
        <v>-2789159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44877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79005.086363636554</v>
      </c>
      <c r="P17" s="7">
        <f t="shared" si="5"/>
        <v>869055.95000000205</v>
      </c>
      <c r="Q17" s="164">
        <f t="shared" si="6"/>
        <v>215028.45000000019</v>
      </c>
      <c r="R17" s="29">
        <f t="shared" si="3"/>
        <v>147.25552008447818</v>
      </c>
      <c r="S17" s="5">
        <f>SUM($Q$7:$Q17)/T17</f>
        <v>246192.08636363654</v>
      </c>
      <c r="T17" s="18">
        <v>11</v>
      </c>
      <c r="U17" s="27"/>
      <c r="V17" s="136"/>
      <c r="W17" s="105">
        <v>-2789159</v>
      </c>
      <c r="X17" s="167"/>
      <c r="Y17" s="156">
        <f t="shared" si="7"/>
        <v>-2789159</v>
      </c>
      <c r="Z17" s="217"/>
      <c r="AA17" s="92"/>
      <c r="AC17" s="92"/>
    </row>
    <row r="18" spans="2:31">
      <c r="B18" s="116">
        <v>44878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76408.116666666858</v>
      </c>
      <c r="P18" s="7">
        <f t="shared" si="5"/>
        <v>916897.40000000224</v>
      </c>
      <c r="Q18" s="164">
        <f t="shared" si="6"/>
        <v>215028.45000000019</v>
      </c>
      <c r="R18" s="29">
        <f t="shared" si="3"/>
        <v>145.70218776978285</v>
      </c>
      <c r="S18" s="5">
        <f>SUM($Q$7:$Q18)/T18</f>
        <v>243595.11666666684</v>
      </c>
      <c r="T18" s="18">
        <v>12</v>
      </c>
      <c r="U18" s="27"/>
      <c r="V18" s="136"/>
      <c r="W18" s="105">
        <v>-2789159</v>
      </c>
      <c r="X18" s="167"/>
      <c r="Y18" s="156">
        <f t="shared" si="7"/>
        <v>-2789159</v>
      </c>
      <c r="Z18" s="217"/>
      <c r="AA18" s="92"/>
    </row>
    <row r="19" spans="2:31">
      <c r="B19" s="116">
        <v>44879</v>
      </c>
      <c r="C19" s="14" t="str">
        <f t="shared" si="0"/>
        <v/>
      </c>
      <c r="D19" s="87"/>
      <c r="E19" s="87">
        <v>56</v>
      </c>
      <c r="F19" s="23">
        <v>-4704818</v>
      </c>
      <c r="G19" s="26">
        <f>D19+E19+F19-E16-F16</f>
        <v>-12817</v>
      </c>
      <c r="H19" s="132">
        <v>300</v>
      </c>
      <c r="I19" s="63">
        <v>7700</v>
      </c>
      <c r="J19" s="63">
        <v>400</v>
      </c>
      <c r="K19" s="170">
        <f t="shared" si="8"/>
        <v>8400</v>
      </c>
      <c r="L19" s="171">
        <v>-32</v>
      </c>
      <c r="M19" s="153"/>
      <c r="N19" s="149">
        <f t="shared" si="9"/>
        <v>-4449</v>
      </c>
      <c r="O19" s="67">
        <f t="shared" si="2"/>
        <v>73868.526923077108</v>
      </c>
      <c r="P19" s="7">
        <f t="shared" si="5"/>
        <v>960290.85000000242</v>
      </c>
      <c r="Q19" s="164">
        <f>Q18+N19+1</f>
        <v>210580.45000000019</v>
      </c>
      <c r="R19" s="29">
        <f t="shared" si="3"/>
        <v>144.1831762775079</v>
      </c>
      <c r="S19" s="5">
        <f>SUM($Q$7:$Q19)/T19</f>
        <v>241055.52692307712</v>
      </c>
      <c r="T19" s="18">
        <v>13</v>
      </c>
      <c r="U19" s="138">
        <f>B19</f>
        <v>44879</v>
      </c>
      <c r="V19" s="131">
        <v>2161.1999999999998</v>
      </c>
      <c r="W19" s="105">
        <v>-2797527</v>
      </c>
      <c r="X19" s="167">
        <f>AVERAGE(W20:W27)</f>
        <v>-2739649.875</v>
      </c>
      <c r="Y19" s="156">
        <f>Y18-K19-L19-4</f>
        <v>-2797531</v>
      </c>
      <c r="Z19" s="217">
        <f>AVERAGE(Y19:Y27)</f>
        <v>-2746112</v>
      </c>
      <c r="AA19" s="92"/>
      <c r="AD19" s="309"/>
    </row>
    <row r="20" spans="2:31">
      <c r="B20" s="116">
        <v>44880</v>
      </c>
      <c r="C20" s="14"/>
      <c r="D20" s="87"/>
      <c r="E20" s="87">
        <v>92</v>
      </c>
      <c r="F20" s="23">
        <v>-4703304</v>
      </c>
      <c r="G20" s="26">
        <f>D20+E20+F20-E19-F19</f>
        <v>1550</v>
      </c>
      <c r="H20" s="132">
        <v>300</v>
      </c>
      <c r="I20" s="63">
        <v>-17000</v>
      </c>
      <c r="J20" s="63">
        <v>400</v>
      </c>
      <c r="K20" s="170">
        <f t="shared" si="8"/>
        <v>-16300</v>
      </c>
      <c r="L20" s="171">
        <v>-23</v>
      </c>
      <c r="M20" s="153"/>
      <c r="N20" s="149">
        <f t="shared" si="9"/>
        <v>-14773</v>
      </c>
      <c r="O20" s="67">
        <f t="shared" si="2"/>
        <v>70636.378571428751</v>
      </c>
      <c r="P20" s="7">
        <f t="shared" si="5"/>
        <v>988909.30000000261</v>
      </c>
      <c r="Q20" s="164">
        <f>Q19+N20-2</f>
        <v>195805.45000000019</v>
      </c>
      <c r="R20" s="29">
        <f t="shared" si="3"/>
        <v>142.24992288361463</v>
      </c>
      <c r="S20" s="5">
        <f>SUM($Q$7:$Q20)/T20</f>
        <v>237823.37857142877</v>
      </c>
      <c r="T20" s="18">
        <v>14</v>
      </c>
      <c r="U20" s="138">
        <f>B19+8</f>
        <v>44887</v>
      </c>
      <c r="V20" s="131"/>
      <c r="W20" s="105">
        <v>-2781207</v>
      </c>
      <c r="X20" s="167"/>
      <c r="Y20" s="156">
        <f>Y19-K20-L20+1</f>
        <v>-2781207</v>
      </c>
      <c r="Z20" s="217"/>
      <c r="AA20" s="92"/>
      <c r="AB20" s="92"/>
    </row>
    <row r="21" spans="2:31">
      <c r="B21" s="116">
        <v>44881</v>
      </c>
      <c r="C21" s="14" t="str">
        <f t="shared" si="0"/>
        <v/>
      </c>
      <c r="D21" s="87">
        <f>-1545+1629</f>
        <v>84</v>
      </c>
      <c r="E21" s="87">
        <v>1</v>
      </c>
      <c r="F21" s="23">
        <v>-4669374</v>
      </c>
      <c r="G21" s="26">
        <f>D21+E21+F21-E20-F20</f>
        <v>33923</v>
      </c>
      <c r="H21" s="132">
        <v>2900</v>
      </c>
      <c r="I21" s="63">
        <v>-37300</v>
      </c>
      <c r="J21" s="63">
        <v>400</v>
      </c>
      <c r="K21" s="170">
        <f t="shared" si="8"/>
        <v>-34000</v>
      </c>
      <c r="L21" s="171">
        <v>-2</v>
      </c>
      <c r="M21" s="153"/>
      <c r="N21" s="149">
        <f>L21+K21+G21+M21</f>
        <v>-79</v>
      </c>
      <c r="O21" s="67">
        <f t="shared" si="2"/>
        <v>67829.85000000018</v>
      </c>
      <c r="P21" s="7">
        <f t="shared" si="5"/>
        <v>1017447.7500000028</v>
      </c>
      <c r="Q21" s="164">
        <f>Q20+N21-1</f>
        <v>195725.45000000019</v>
      </c>
      <c r="R21" s="29">
        <f t="shared" si="3"/>
        <v>140.57064843558422</v>
      </c>
      <c r="S21" s="5">
        <f>SUM($Q$7:$Q21)/T21-1</f>
        <v>235015.85000000018</v>
      </c>
      <c r="T21" s="18">
        <v>15</v>
      </c>
      <c r="U21" s="4"/>
      <c r="V21" s="131"/>
      <c r="W21" s="105">
        <v>-2747202</v>
      </c>
      <c r="X21" s="167"/>
      <c r="Y21" s="156">
        <f>Y20-K21-L21-1</f>
        <v>-2747206</v>
      </c>
      <c r="Z21" s="217"/>
      <c r="AA21" s="92"/>
    </row>
    <row r="22" spans="2:31">
      <c r="B22" s="116">
        <v>44882</v>
      </c>
      <c r="C22" s="14" t="str">
        <f t="shared" si="0"/>
        <v/>
      </c>
      <c r="D22" s="87"/>
      <c r="E22" s="87">
        <v>1</v>
      </c>
      <c r="F22" s="23">
        <v>-4675279</v>
      </c>
      <c r="G22" s="26">
        <f>D22+E22+F22-E21-F21</f>
        <v>-5905</v>
      </c>
      <c r="H22" s="132">
        <v>-500</v>
      </c>
      <c r="I22" s="63">
        <v>8900</v>
      </c>
      <c r="J22" s="63">
        <v>400</v>
      </c>
      <c r="K22" s="170">
        <f t="shared" si="8"/>
        <v>8800</v>
      </c>
      <c r="L22" s="171">
        <v>44</v>
      </c>
      <c r="M22" s="153"/>
      <c r="N22" s="149">
        <f>L22+K22+G22+M22</f>
        <v>2939</v>
      </c>
      <c r="O22" s="67">
        <f t="shared" si="2"/>
        <v>65557.950000000186</v>
      </c>
      <c r="P22" s="7">
        <f t="shared" si="5"/>
        <v>1048927.200000003</v>
      </c>
      <c r="Q22" s="164">
        <f>Q21+N22+2</f>
        <v>198666.45000000019</v>
      </c>
      <c r="R22" s="29">
        <f t="shared" si="3"/>
        <v>139.21234904627764</v>
      </c>
      <c r="S22" s="5">
        <f>SUM($Q$7:$Q22)/T22</f>
        <v>232744.95000000019</v>
      </c>
      <c r="T22" s="18">
        <v>16</v>
      </c>
      <c r="U22" s="4"/>
      <c r="V22" s="131"/>
      <c r="W22" s="105">
        <v>-2756046</v>
      </c>
      <c r="X22" s="167"/>
      <c r="Y22" s="156">
        <f>Y21-K22-L22</f>
        <v>-2756050</v>
      </c>
      <c r="Z22" s="217"/>
      <c r="AA22" s="92"/>
    </row>
    <row r="23" spans="2:31">
      <c r="B23" s="116">
        <v>44883</v>
      </c>
      <c r="C23" s="14"/>
      <c r="D23" s="87"/>
      <c r="E23" s="87">
        <v>37</v>
      </c>
      <c r="F23" s="23">
        <v>-4638947</v>
      </c>
      <c r="G23" s="26">
        <f>D23+E23+F23-E22-F22</f>
        <v>36368</v>
      </c>
      <c r="H23" s="132">
        <v>-18100</v>
      </c>
      <c r="I23" s="63">
        <v>-5800</v>
      </c>
      <c r="J23" s="63">
        <v>400</v>
      </c>
      <c r="K23" s="170">
        <f t="shared" si="8"/>
        <v>-23500</v>
      </c>
      <c r="L23" s="171">
        <v>-5</v>
      </c>
      <c r="M23" s="153"/>
      <c r="N23" s="149">
        <f>L23+K23+G23+M23</f>
        <v>12863</v>
      </c>
      <c r="O23" s="67">
        <f t="shared" si="2"/>
        <v>64309.979411764893</v>
      </c>
      <c r="P23" s="7">
        <f t="shared" si="5"/>
        <v>1093269.6500000032</v>
      </c>
      <c r="Q23" s="164">
        <f>Q22+N23</f>
        <v>211529.45000000019</v>
      </c>
      <c r="R23" s="29">
        <f t="shared" si="3"/>
        <v>138.46589711626197</v>
      </c>
      <c r="S23" s="5">
        <f>SUM($Q$7:$Q23)/T23</f>
        <v>231496.97941176489</v>
      </c>
      <c r="T23" s="18">
        <v>17</v>
      </c>
      <c r="U23" s="27"/>
      <c r="V23" s="135"/>
      <c r="W23" s="105">
        <v>-2732451</v>
      </c>
      <c r="X23" s="167"/>
      <c r="Y23" s="156">
        <f>Y22-K23-L23+4</f>
        <v>-2732541</v>
      </c>
      <c r="Z23" s="217"/>
      <c r="AA23" s="92"/>
    </row>
    <row r="24" spans="2:31">
      <c r="B24" s="116">
        <v>44884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63200.672222222405</v>
      </c>
      <c r="P24" s="7">
        <f t="shared" si="5"/>
        <v>1137612.1000000034</v>
      </c>
      <c r="Q24" s="164">
        <f t="shared" ref="Q24:Q25" si="11">Q23+N24</f>
        <v>211529.45000000019</v>
      </c>
      <c r="R24" s="29">
        <f t="shared" si="3"/>
        <v>137.80238428958137</v>
      </c>
      <c r="S24" s="5">
        <f>SUM($Q$7:$Q24)/T24</f>
        <v>230387.67222222241</v>
      </c>
      <c r="T24" s="18">
        <v>18</v>
      </c>
      <c r="U24" s="4"/>
      <c r="V24" s="135"/>
      <c r="W24" s="105">
        <v>-2732451</v>
      </c>
      <c r="X24" s="167"/>
      <c r="Y24" s="156">
        <f t="shared" si="7"/>
        <v>-2732541</v>
      </c>
      <c r="Z24" s="217"/>
      <c r="AA24" s="92"/>
      <c r="AD24" s="1"/>
      <c r="AE24" s="1"/>
    </row>
    <row r="25" spans="2:31">
      <c r="B25" s="116">
        <v>44885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62208.134210526499</v>
      </c>
      <c r="P25" s="7">
        <f t="shared" si="5"/>
        <v>1181954.5500000035</v>
      </c>
      <c r="Q25" s="164">
        <f t="shared" si="11"/>
        <v>211529.45000000019</v>
      </c>
      <c r="R25" s="29">
        <f t="shared" si="3"/>
        <v>137.20871491834083</v>
      </c>
      <c r="S25" s="5">
        <f>SUM($Q$7:$Q25)/T25</f>
        <v>229395.13421052651</v>
      </c>
      <c r="T25" s="18">
        <v>19</v>
      </c>
      <c r="U25" s="4"/>
      <c r="V25" s="131"/>
      <c r="W25" s="105">
        <v>-2732451</v>
      </c>
      <c r="X25" s="167"/>
      <c r="Y25" s="156">
        <f t="shared" si="7"/>
        <v>-2732541</v>
      </c>
      <c r="Z25" s="217"/>
      <c r="AA25" s="92"/>
      <c r="AD25" s="1"/>
      <c r="AE25" s="1"/>
    </row>
    <row r="26" spans="2:31">
      <c r="B26" s="116">
        <v>44886</v>
      </c>
      <c r="C26" s="14"/>
      <c r="D26" s="87"/>
      <c r="E26" s="87">
        <v>0</v>
      </c>
      <c r="F26" s="23">
        <v>-4649717</v>
      </c>
      <c r="G26" s="26">
        <f>D26+E26+F26-E23-F23</f>
        <v>-10807</v>
      </c>
      <c r="H26" s="132">
        <v>-14500</v>
      </c>
      <c r="I26" s="63">
        <v>3200</v>
      </c>
      <c r="J26" s="63">
        <v>100</v>
      </c>
      <c r="K26" s="170">
        <f t="shared" si="8"/>
        <v>-11200</v>
      </c>
      <c r="L26" s="171">
        <v>44</v>
      </c>
      <c r="M26" s="153"/>
      <c r="N26" s="149">
        <f t="shared" si="9"/>
        <v>-21963</v>
      </c>
      <c r="O26" s="67">
        <f t="shared" si="2"/>
        <v>60216.700000000186</v>
      </c>
      <c r="P26" s="7">
        <f t="shared" si="5"/>
        <v>1204334.0000000037</v>
      </c>
      <c r="Q26" s="164">
        <f>Q25+N26</f>
        <v>189566.45000000019</v>
      </c>
      <c r="R26" s="29">
        <f t="shared" si="3"/>
        <v>136.01637687140757</v>
      </c>
      <c r="S26" s="5">
        <f>SUM($Q$7:$Q26)/T26-2</f>
        <v>227401.70000000019</v>
      </c>
      <c r="T26" s="18">
        <v>20</v>
      </c>
      <c r="U26" s="138">
        <f>B26</f>
        <v>44886</v>
      </c>
      <c r="V26" s="131">
        <v>2171.4</v>
      </c>
      <c r="W26" s="105">
        <v>-2721385</v>
      </c>
      <c r="X26" s="167">
        <f>AVERAGE(W26:W34)</f>
        <v>-2738187</v>
      </c>
      <c r="Y26" s="156">
        <f>Y25-K26-L26</f>
        <v>-2721385</v>
      </c>
      <c r="Z26" s="217">
        <f>AVERAGE(Y26:Y34)</f>
        <v>-2738186.4444444445</v>
      </c>
      <c r="AC26" s="92"/>
      <c r="AD26" s="1"/>
      <c r="AE26" s="1"/>
    </row>
    <row r="27" spans="2:31">
      <c r="B27" s="116">
        <v>44887</v>
      </c>
      <c r="C27" s="14" t="str">
        <f t="shared" si="0"/>
        <v/>
      </c>
      <c r="D27" s="87"/>
      <c r="E27" s="87">
        <v>1</v>
      </c>
      <c r="F27" s="23">
        <v>-4620072</v>
      </c>
      <c r="G27" s="26">
        <f>D27+E27+F27-E26-F26</f>
        <v>29646</v>
      </c>
      <c r="H27" s="132">
        <v>-200</v>
      </c>
      <c r="I27" s="63">
        <v>-7300</v>
      </c>
      <c r="J27" s="63">
        <v>100</v>
      </c>
      <c r="K27" s="170">
        <f t="shared" si="8"/>
        <v>-7400</v>
      </c>
      <c r="L27" s="171">
        <v>20</v>
      </c>
      <c r="M27" s="153"/>
      <c r="N27" s="149">
        <f>L27+K27+G27+M27</f>
        <v>22266</v>
      </c>
      <c r="O27" s="67">
        <f t="shared" si="2"/>
        <v>59475.259523809713</v>
      </c>
      <c r="P27" s="7">
        <f t="shared" si="5"/>
        <v>1248980.4500000039</v>
      </c>
      <c r="Q27" s="164">
        <f>Q26+N27+1</f>
        <v>211833.45000000019</v>
      </c>
      <c r="R27" s="29">
        <f t="shared" si="3"/>
        <v>135.57409339470755</v>
      </c>
      <c r="S27" s="5">
        <f>SUM($Q$7:$Q27)/T27</f>
        <v>226662.25952380971</v>
      </c>
      <c r="T27" s="18">
        <v>21</v>
      </c>
      <c r="U27" s="138">
        <f>B28+6</f>
        <v>44894</v>
      </c>
      <c r="V27" s="159"/>
      <c r="W27" s="105">
        <v>-2714006</v>
      </c>
      <c r="X27" s="167"/>
      <c r="Y27" s="156">
        <f>Y26-K27-L27-1</f>
        <v>-2714006</v>
      </c>
      <c r="Z27" s="217"/>
      <c r="AA27" s="92"/>
      <c r="AD27" s="1"/>
      <c r="AE27" s="1"/>
    </row>
    <row r="28" spans="2:31">
      <c r="B28" s="116">
        <v>44888</v>
      </c>
      <c r="C28" s="14" t="str">
        <f t="shared" si="0"/>
        <v/>
      </c>
      <c r="D28" s="87">
        <f>-1629-296294+1835</f>
        <v>-296088</v>
      </c>
      <c r="E28" s="87">
        <v>15</v>
      </c>
      <c r="F28" s="23">
        <v>-4387400</v>
      </c>
      <c r="G28" s="26">
        <f>D28+E28+F28-E27-F27</f>
        <v>-63402</v>
      </c>
      <c r="H28" s="132">
        <v>-1200</v>
      </c>
      <c r="I28" s="63">
        <v>48800</v>
      </c>
      <c r="J28" s="63">
        <v>100</v>
      </c>
      <c r="K28" s="170">
        <f t="shared" si="8"/>
        <v>47700</v>
      </c>
      <c r="L28" s="171">
        <v>-21</v>
      </c>
      <c r="M28" s="153"/>
      <c r="N28" s="149">
        <f>L28+K28+G28+M28</f>
        <v>-15723</v>
      </c>
      <c r="O28" s="67">
        <f t="shared" si="2"/>
        <v>58086.540909091098</v>
      </c>
      <c r="P28" s="7">
        <f t="shared" si="5"/>
        <v>1277903.9000000041</v>
      </c>
      <c r="Q28" s="164">
        <f>Q27+N28</f>
        <v>196110.45000000019</v>
      </c>
      <c r="R28" s="29">
        <f t="shared" si="3"/>
        <v>134.74285734482413</v>
      </c>
      <c r="S28" s="5">
        <f>SUM($Q$7:$Q28)/T28-1</f>
        <v>225272.5409090911</v>
      </c>
      <c r="T28" s="18">
        <v>22</v>
      </c>
      <c r="U28" s="4"/>
      <c r="V28" s="131"/>
      <c r="W28" s="105">
        <v>-2761684</v>
      </c>
      <c r="X28" s="167"/>
      <c r="Y28" s="156">
        <f>Y27-K28-L28+1</f>
        <v>-2761684</v>
      </c>
      <c r="Z28" s="217"/>
      <c r="AA28" s="92"/>
      <c r="AD28" s="1"/>
      <c r="AE28" s="1"/>
    </row>
    <row r="29" spans="2:31">
      <c r="B29" s="116">
        <v>44889</v>
      </c>
      <c r="C29" s="14" t="str">
        <f t="shared" si="0"/>
        <v/>
      </c>
      <c r="D29" s="87"/>
      <c r="E29" s="87">
        <v>30</v>
      </c>
      <c r="F29" s="23">
        <v>-4379030</v>
      </c>
      <c r="G29" s="26">
        <f>D29+E29+F29-E28-F28</f>
        <v>8385</v>
      </c>
      <c r="H29" s="132">
        <v>300</v>
      </c>
      <c r="I29" s="63">
        <v>-13500</v>
      </c>
      <c r="J29" s="63">
        <v>100</v>
      </c>
      <c r="K29" s="170">
        <f t="shared" si="8"/>
        <v>-13100</v>
      </c>
      <c r="L29" s="171">
        <v>39</v>
      </c>
      <c r="M29" s="153"/>
      <c r="N29" s="149">
        <f>L29+K29+G29+M29</f>
        <v>-4676</v>
      </c>
      <c r="O29" s="67">
        <f t="shared" si="2"/>
        <v>56615.276086956706</v>
      </c>
      <c r="P29" s="7">
        <f t="shared" si="5"/>
        <v>1302151.3500000043</v>
      </c>
      <c r="Q29" s="164">
        <f>Q28+N29</f>
        <v>191434.45000000019</v>
      </c>
      <c r="R29" s="29">
        <f t="shared" si="3"/>
        <v>133.86344398006824</v>
      </c>
      <c r="S29" s="5">
        <f>SUM($Q$7:$Q29)/T29</f>
        <v>223802.2760869567</v>
      </c>
      <c r="T29" s="18">
        <v>23</v>
      </c>
      <c r="U29" s="4"/>
      <c r="V29" s="131"/>
      <c r="W29" s="105">
        <v>-2748623</v>
      </c>
      <c r="X29" s="167"/>
      <c r="Y29" s="156">
        <f>Y28-K29-L29</f>
        <v>-2748623</v>
      </c>
      <c r="Z29" s="217"/>
      <c r="AA29" s="92"/>
      <c r="AD29" s="1"/>
      <c r="AE29" s="1"/>
    </row>
    <row r="30" spans="2:31">
      <c r="B30" s="116">
        <v>44890</v>
      </c>
      <c r="C30" s="14" t="str">
        <f t="shared" si="0"/>
        <v/>
      </c>
      <c r="D30" s="87"/>
      <c r="E30" s="87">
        <v>30</v>
      </c>
      <c r="F30" s="23">
        <v>-4348458</v>
      </c>
      <c r="G30" s="26">
        <f>D30+E30+F30-E29-F29</f>
        <v>30572</v>
      </c>
      <c r="H30" s="132">
        <v>300</v>
      </c>
      <c r="I30" s="25">
        <v>-18950</v>
      </c>
      <c r="J30" s="25">
        <v>100</v>
      </c>
      <c r="K30" s="170">
        <f t="shared" si="8"/>
        <v>-18550</v>
      </c>
      <c r="L30" s="171">
        <v>-17</v>
      </c>
      <c r="M30" s="153"/>
      <c r="N30" s="149">
        <f>L30+K30+G30+M30</f>
        <v>12005</v>
      </c>
      <c r="O30" s="67">
        <f t="shared" si="2"/>
        <v>55766.825000000186</v>
      </c>
      <c r="P30" s="7">
        <f t="shared" si="5"/>
        <v>1338403.8000000045</v>
      </c>
      <c r="Q30" s="164">
        <f>Q29+N30</f>
        <v>203439.45000000019</v>
      </c>
      <c r="R30" s="29">
        <f t="shared" si="3"/>
        <v>133.35894836321017</v>
      </c>
      <c r="S30" s="5">
        <f>SUM($Q$7:$Q30)/T30+5</f>
        <v>222958.82500000019</v>
      </c>
      <c r="T30" s="18">
        <v>24</v>
      </c>
      <c r="U30" s="4"/>
      <c r="V30" s="131"/>
      <c r="W30" s="105">
        <v>-2730057</v>
      </c>
      <c r="X30" s="167"/>
      <c r="Y30" s="156">
        <f>Y29-K30-L30</f>
        <v>-2730056</v>
      </c>
      <c r="Z30" s="217"/>
      <c r="AA30" s="92"/>
      <c r="AD30" s="1"/>
      <c r="AE30" s="1"/>
    </row>
    <row r="31" spans="2:31">
      <c r="B31" s="116">
        <v>44891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54986.250000000189</v>
      </c>
      <c r="P31" s="7">
        <f t="shared" si="5"/>
        <v>1374656.2500000047</v>
      </c>
      <c r="Q31" s="164">
        <f t="shared" ref="Q31:Q39" si="12">Q30+N31</f>
        <v>203439.45000000019</v>
      </c>
      <c r="R31" s="29">
        <f t="shared" si="3"/>
        <v>132.88847218982346</v>
      </c>
      <c r="S31" s="5">
        <f>SUM($Q$7:$Q31)/T31-1</f>
        <v>222172.25000000017</v>
      </c>
      <c r="T31" s="18">
        <v>25</v>
      </c>
      <c r="U31" s="4"/>
      <c r="V31" s="137"/>
      <c r="W31" s="105">
        <v>-2730057</v>
      </c>
      <c r="X31" s="167"/>
      <c r="Y31" s="156">
        <f t="shared" si="7"/>
        <v>-2730056</v>
      </c>
      <c r="Z31" s="217"/>
      <c r="AA31" s="92"/>
      <c r="AB31" s="92"/>
      <c r="AD31" s="1"/>
      <c r="AE31" s="1"/>
    </row>
    <row r="32" spans="2:31">
      <c r="B32" s="116">
        <v>44892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54265.71923076942</v>
      </c>
      <c r="P32" s="7">
        <f t="shared" si="5"/>
        <v>1410908.7000000048</v>
      </c>
      <c r="Q32" s="164">
        <f t="shared" si="12"/>
        <v>203439.45000000019</v>
      </c>
      <c r="R32" s="29">
        <f t="shared" si="3"/>
        <v>132.45749922587845</v>
      </c>
      <c r="S32" s="5">
        <f>SUM($Q$7:$Q32)/T32-1</f>
        <v>221451.71923076941</v>
      </c>
      <c r="T32" s="18">
        <v>26</v>
      </c>
      <c r="U32" s="27"/>
      <c r="V32" s="137"/>
      <c r="W32" s="105">
        <v>-2730057</v>
      </c>
      <c r="X32" s="167"/>
      <c r="Y32" s="156">
        <f t="shared" si="7"/>
        <v>-2730056</v>
      </c>
      <c r="Z32" s="217"/>
      <c r="AD32" s="1"/>
      <c r="AE32" s="1"/>
    </row>
    <row r="33" spans="2:31">
      <c r="B33" s="116">
        <v>44893</v>
      </c>
      <c r="C33" s="14" t="str">
        <f t="shared" si="0"/>
        <v/>
      </c>
      <c r="D33" s="87"/>
      <c r="E33" s="87">
        <v>121</v>
      </c>
      <c r="F33" s="23">
        <v>-4369772</v>
      </c>
      <c r="G33" s="26">
        <f>D33+E33+F33-E30-F30</f>
        <v>-21223</v>
      </c>
      <c r="H33" s="132">
        <v>300</v>
      </c>
      <c r="I33" s="25">
        <v>11200</v>
      </c>
      <c r="J33" s="25">
        <v>300</v>
      </c>
      <c r="K33" s="170">
        <f t="shared" si="8"/>
        <v>11800</v>
      </c>
      <c r="L33" s="171">
        <v>97</v>
      </c>
      <c r="M33" s="153"/>
      <c r="N33" s="149">
        <f t="shared" si="9"/>
        <v>-9326</v>
      </c>
      <c r="O33" s="67">
        <f t="shared" si="2"/>
        <v>53253.116666666851</v>
      </c>
      <c r="P33" s="7">
        <f t="shared" si="5"/>
        <v>1437834.150000005</v>
      </c>
      <c r="Q33" s="164">
        <f>Q32+N33-1</f>
        <v>194112.45000000019</v>
      </c>
      <c r="R33" s="29">
        <f t="shared" si="3"/>
        <v>131.8524267237685</v>
      </c>
      <c r="S33" s="5">
        <f>SUM($Q$7:$Q33)/T33</f>
        <v>220440.11666666684</v>
      </c>
      <c r="T33" s="18">
        <v>27</v>
      </c>
      <c r="U33" s="138">
        <f>B33</f>
        <v>44893</v>
      </c>
      <c r="V33" s="131">
        <v>2131.8000000000002</v>
      </c>
      <c r="W33" s="105">
        <v>-2741953</v>
      </c>
      <c r="X33" s="167">
        <f>AVERAGE(W33:W41)</f>
        <v>-2813946.888888889</v>
      </c>
      <c r="Y33" s="156">
        <f>Y32-K33-L33</f>
        <v>-2741953</v>
      </c>
      <c r="Z33" s="217">
        <f>AVERAGE(Y33:Y41)</f>
        <v>-2813946.3333333335</v>
      </c>
      <c r="AD33" s="1"/>
      <c r="AE33" s="1"/>
    </row>
    <row r="34" spans="2:31">
      <c r="B34" s="116">
        <v>44894</v>
      </c>
      <c r="C34" s="14" t="str">
        <f t="shared" si="0"/>
        <v/>
      </c>
      <c r="D34" s="87"/>
      <c r="E34" s="87">
        <v>45</v>
      </c>
      <c r="F34" s="23">
        <v>-4389507</v>
      </c>
      <c r="G34" s="26">
        <f>D34+E34+F34-E33-F33</f>
        <v>-19811</v>
      </c>
      <c r="H34" s="132">
        <v>300</v>
      </c>
      <c r="I34" s="25">
        <v>23300</v>
      </c>
      <c r="J34" s="25">
        <v>300</v>
      </c>
      <c r="K34" s="170">
        <f t="shared" si="8"/>
        <v>23900</v>
      </c>
      <c r="L34" s="171">
        <v>6</v>
      </c>
      <c r="M34" s="153"/>
      <c r="N34" s="149">
        <f>L34+K34+G34+M34</f>
        <v>4095</v>
      </c>
      <c r="O34" s="67">
        <f t="shared" si="2"/>
        <v>52459.164285714469</v>
      </c>
      <c r="P34" s="7">
        <f t="shared" si="5"/>
        <v>1468856.6000000052</v>
      </c>
      <c r="Q34" s="164">
        <f>Q33+N34+2</f>
        <v>198209.45000000019</v>
      </c>
      <c r="R34" s="29">
        <f t="shared" si="3"/>
        <v>131.37753789811077</v>
      </c>
      <c r="S34" s="5">
        <f>SUM($Q$7:$Q34)/T34</f>
        <v>219646.16428571448</v>
      </c>
      <c r="T34" s="18">
        <v>28</v>
      </c>
      <c r="U34" s="138">
        <f>B33+8</f>
        <v>44901</v>
      </c>
      <c r="V34" s="131"/>
      <c r="W34" s="105">
        <v>-2765861</v>
      </c>
      <c r="X34" s="167"/>
      <c r="Y34" s="156">
        <f>Y33-K34-L34</f>
        <v>-2765859</v>
      </c>
      <c r="Z34" s="217"/>
      <c r="AA34" s="92"/>
      <c r="AD34" s="1"/>
      <c r="AE34" s="1"/>
    </row>
    <row r="35" spans="2:31">
      <c r="B35" s="116">
        <v>44895</v>
      </c>
      <c r="C35" s="14" t="str">
        <f t="shared" si="0"/>
        <v/>
      </c>
      <c r="D35" s="87">
        <v>792</v>
      </c>
      <c r="E35" s="87">
        <v>140</v>
      </c>
      <c r="F35" s="23">
        <v>-4355780</v>
      </c>
      <c r="G35" s="26">
        <f>D35+E35+F35-E34-F34</f>
        <v>34614</v>
      </c>
      <c r="H35" s="132">
        <v>300</v>
      </c>
      <c r="I35" s="25">
        <v>3700</v>
      </c>
      <c r="J35" s="25">
        <v>300</v>
      </c>
      <c r="K35" s="170">
        <f t="shared" si="8"/>
        <v>4300</v>
      </c>
      <c r="L35" s="171">
        <v>77</v>
      </c>
      <c r="M35" s="153"/>
      <c r="N35" s="149">
        <f t="shared" si="9"/>
        <v>38991</v>
      </c>
      <c r="O35" s="67">
        <f t="shared" si="2"/>
        <v>53064.484482758809</v>
      </c>
      <c r="P35" s="7">
        <f t="shared" si="5"/>
        <v>1538870.0500000054</v>
      </c>
      <c r="Q35" s="164">
        <f>Q34+N35</f>
        <v>237200.45000000019</v>
      </c>
      <c r="R35" s="29">
        <f t="shared" si="3"/>
        <v>131.73959965951826</v>
      </c>
      <c r="S35" s="5">
        <f>SUM($Q$7:$Q35)/T35</f>
        <v>220251.48448275879</v>
      </c>
      <c r="T35" s="18">
        <v>29</v>
      </c>
      <c r="U35" s="4"/>
      <c r="V35" s="131"/>
      <c r="W35" s="105">
        <v>-2770238</v>
      </c>
      <c r="X35" s="167"/>
      <c r="Y35" s="156">
        <f>Y34-K35-L35-1</f>
        <v>-2770237</v>
      </c>
      <c r="Z35" s="217"/>
      <c r="AA35" s="92"/>
      <c r="AD35" s="1"/>
      <c r="AE35" s="1"/>
    </row>
    <row r="36" spans="2:31">
      <c r="B36" s="116">
        <v>44896</v>
      </c>
      <c r="C36" s="14" t="str">
        <f t="shared" si="0"/>
        <v/>
      </c>
      <c r="D36" s="87">
        <f>-725+997</f>
        <v>272</v>
      </c>
      <c r="E36" s="87">
        <v>0</v>
      </c>
      <c r="F36" s="23">
        <v>-4451632</v>
      </c>
      <c r="G36" s="26">
        <f>D36+E36+F36-E35-F35</f>
        <v>-95720</v>
      </c>
      <c r="H36" s="132">
        <v>18300</v>
      </c>
      <c r="I36" s="25">
        <v>40600</v>
      </c>
      <c r="J36" s="25">
        <v>-100</v>
      </c>
      <c r="K36" s="170">
        <f t="shared" si="8"/>
        <v>58800</v>
      </c>
      <c r="L36" s="171">
        <v>20</v>
      </c>
      <c r="M36" s="153"/>
      <c r="N36" s="149">
        <f t="shared" si="9"/>
        <v>-36900</v>
      </c>
      <c r="O36" s="67">
        <f t="shared" si="2"/>
        <v>52399.383333333521</v>
      </c>
      <c r="P36" s="7">
        <f t="shared" si="5"/>
        <v>1571981.5000000056</v>
      </c>
      <c r="Q36" s="164">
        <f>Q35+N36-2</f>
        <v>200298.45000000019</v>
      </c>
      <c r="R36" s="29">
        <f t="shared" si="3"/>
        <v>131.34178095984348</v>
      </c>
      <c r="S36" s="5">
        <f>SUM($Q$7:$Q36)/T36</f>
        <v>219586.38333333351</v>
      </c>
      <c r="T36" s="18">
        <v>30</v>
      </c>
      <c r="U36" s="4"/>
      <c r="V36" s="136"/>
      <c r="W36" s="105">
        <v>-2829056</v>
      </c>
      <c r="X36" s="167"/>
      <c r="Y36" s="156">
        <f>Y35-K36-L36+3</f>
        <v>-2829054</v>
      </c>
      <c r="Z36" s="217"/>
      <c r="AD36" s="1"/>
      <c r="AE36" s="1"/>
    </row>
    <row r="37" spans="2:31">
      <c r="B37" s="116">
        <v>44897</v>
      </c>
      <c r="C37" s="14"/>
      <c r="D37" s="87"/>
      <c r="E37" s="87">
        <v>0</v>
      </c>
      <c r="F37" s="23">
        <v>-4473960</v>
      </c>
      <c r="G37" s="26">
        <f>D37+E37+F37-E36-F36</f>
        <v>-22328</v>
      </c>
      <c r="H37" s="132">
        <v>-15700</v>
      </c>
      <c r="I37" s="25">
        <v>28100</v>
      </c>
      <c r="J37" s="25">
        <v>-200</v>
      </c>
      <c r="K37" s="170">
        <f t="shared" si="8"/>
        <v>12200</v>
      </c>
      <c r="L37" s="171">
        <v>5</v>
      </c>
      <c r="M37" s="153"/>
      <c r="N37" s="149">
        <f t="shared" si="9"/>
        <v>-10123</v>
      </c>
      <c r="O37" s="67">
        <f t="shared" si="2"/>
        <v>51450.514516129217</v>
      </c>
      <c r="P37" s="7">
        <f t="shared" si="5"/>
        <v>1594965.9500000058</v>
      </c>
      <c r="Q37" s="164">
        <f>Q36+N37-4</f>
        <v>190171.45000000019</v>
      </c>
      <c r="R37" s="29">
        <f t="shared" si="3"/>
        <v>130.77482969138103</v>
      </c>
      <c r="S37" s="5">
        <f>SUM($Q$7:$Q37)/T37+1</f>
        <v>218638.51451612922</v>
      </c>
      <c r="T37" s="18">
        <v>31</v>
      </c>
      <c r="U37" s="27"/>
      <c r="V37" s="137"/>
      <c r="W37" s="105">
        <v>-2841257</v>
      </c>
      <c r="X37" s="167"/>
      <c r="Y37" s="156">
        <f>Y36-K37-L37+2</f>
        <v>-2841257</v>
      </c>
      <c r="Z37" s="217"/>
      <c r="AA37" s="92"/>
      <c r="AD37" s="1"/>
      <c r="AE37" s="1"/>
    </row>
    <row r="38" spans="2:31">
      <c r="B38" s="116">
        <v>44898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50560.950000000186</v>
      </c>
      <c r="P38" s="7">
        <f t="shared" si="5"/>
        <v>1617950.400000006</v>
      </c>
      <c r="Q38" s="164">
        <f t="shared" si="12"/>
        <v>190171.45000000019</v>
      </c>
      <c r="R38" s="29">
        <f t="shared" si="3"/>
        <v>130.242153995227</v>
      </c>
      <c r="S38" s="5">
        <f>SUM($Q$7:$Q38)/T38</f>
        <v>217747.95000000019</v>
      </c>
      <c r="T38" s="18">
        <v>32</v>
      </c>
      <c r="U38" s="27"/>
      <c r="V38" s="137"/>
      <c r="W38" s="105">
        <v>-2841257</v>
      </c>
      <c r="X38" s="167"/>
      <c r="Y38" s="156">
        <f t="shared" si="7"/>
        <v>-2841257</v>
      </c>
      <c r="Z38" s="217"/>
      <c r="AD38" s="1"/>
      <c r="AE38" s="1"/>
    </row>
    <row r="39" spans="2:31">
      <c r="B39" s="116">
        <v>44899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49725.298484848674</v>
      </c>
      <c r="P39" s="7">
        <f t="shared" si="5"/>
        <v>1640934.8500000061</v>
      </c>
      <c r="Q39" s="164">
        <f t="shared" si="12"/>
        <v>190171.45000000019</v>
      </c>
      <c r="R39" s="29">
        <f t="shared" si="3"/>
        <v>129.74351982202484</v>
      </c>
      <c r="S39" s="5">
        <f>SUM($Q$7:$Q39)/T39+2</f>
        <v>216914.29848484867</v>
      </c>
      <c r="T39" s="18">
        <v>33</v>
      </c>
      <c r="U39" s="27"/>
      <c r="V39" s="137"/>
      <c r="W39" s="105">
        <v>-2841257</v>
      </c>
      <c r="X39" s="167"/>
      <c r="Y39" s="156">
        <f t="shared" si="7"/>
        <v>-2841257</v>
      </c>
      <c r="Z39" s="217"/>
      <c r="AD39" s="1"/>
      <c r="AE39" s="1"/>
    </row>
    <row r="40" spans="2:31">
      <c r="B40" s="116">
        <v>44900</v>
      </c>
      <c r="C40" s="14"/>
      <c r="D40" s="87"/>
      <c r="E40" s="87">
        <v>0</v>
      </c>
      <c r="F40" s="23">
        <v>-4443618</v>
      </c>
      <c r="G40" s="26">
        <f>D40+E40+F40-E37-F37</f>
        <v>30342</v>
      </c>
      <c r="H40" s="132">
        <v>-10500</v>
      </c>
      <c r="I40" s="25">
        <v>11500</v>
      </c>
      <c r="J40" s="25">
        <v>-600</v>
      </c>
      <c r="K40" s="170">
        <f t="shared" si="8"/>
        <v>400</v>
      </c>
      <c r="L40" s="171">
        <v>-26</v>
      </c>
      <c r="M40" s="153"/>
      <c r="N40" s="149">
        <f t="shared" si="9"/>
        <v>30716</v>
      </c>
      <c r="O40" s="67">
        <f t="shared" si="2"/>
        <v>49842.214705882536</v>
      </c>
      <c r="P40" s="7">
        <f t="shared" si="5"/>
        <v>1694635.3000000063</v>
      </c>
      <c r="Q40" s="164">
        <f>Q39+N40</f>
        <v>220887.45000000019</v>
      </c>
      <c r="R40" s="29">
        <f t="shared" si="3"/>
        <v>129.81285309616331</v>
      </c>
      <c r="S40" s="5">
        <f>SUM($Q$7:$Q40)/T40+1</f>
        <v>217030.21470588254</v>
      </c>
      <c r="T40" s="18">
        <v>34</v>
      </c>
      <c r="U40" s="138">
        <f>B40</f>
        <v>44900</v>
      </c>
      <c r="V40" s="131">
        <v>2085.5</v>
      </c>
      <c r="W40" s="105">
        <v>-2841630</v>
      </c>
      <c r="X40" s="167">
        <f>AVERAGE(W40:W48)</f>
        <v>-2846470</v>
      </c>
      <c r="Y40" s="156">
        <f>Y39-K40-L40+1</f>
        <v>-2841630</v>
      </c>
      <c r="Z40" s="217">
        <f>AVERAGE(Y40:Y48)</f>
        <v>-2846470</v>
      </c>
      <c r="AD40" s="1"/>
      <c r="AE40" s="1"/>
    </row>
    <row r="41" spans="2:31">
      <c r="B41" s="116">
        <v>44901</v>
      </c>
      <c r="C41" s="14" t="str">
        <f t="shared" si="0"/>
        <v/>
      </c>
      <c r="D41" s="87"/>
      <c r="E41" s="87">
        <v>0</v>
      </c>
      <c r="F41" s="23">
        <v>-4476561</v>
      </c>
      <c r="G41" s="26">
        <f>D41+E41+F41-E40-F40</f>
        <v>-32943</v>
      </c>
      <c r="H41" s="132">
        <v>-100</v>
      </c>
      <c r="I41" s="25">
        <v>12100</v>
      </c>
      <c r="J41" s="25">
        <v>-600</v>
      </c>
      <c r="K41" s="170">
        <f t="shared" si="8"/>
        <v>11400</v>
      </c>
      <c r="L41" s="171">
        <v>-16</v>
      </c>
      <c r="M41" s="153"/>
      <c r="N41" s="149">
        <f t="shared" si="9"/>
        <v>-21559</v>
      </c>
      <c r="O41" s="67">
        <f t="shared" si="2"/>
        <v>49336.421428571615</v>
      </c>
      <c r="P41" s="7">
        <f t="shared" si="5"/>
        <v>1726774.7500000065</v>
      </c>
      <c r="Q41" s="164">
        <f>Q40+N41-2</f>
        <v>199326.45000000019</v>
      </c>
      <c r="R41" s="29">
        <f t="shared" si="3"/>
        <v>129.51032163300471</v>
      </c>
      <c r="S41" s="5">
        <f>SUM($Q$7:$Q41)/T41+1</f>
        <v>216524.4214285716</v>
      </c>
      <c r="T41" s="18">
        <v>35</v>
      </c>
      <c r="U41" s="138">
        <f>B40+8</f>
        <v>44908</v>
      </c>
      <c r="V41" s="137"/>
      <c r="W41" s="105">
        <v>-2853013</v>
      </c>
      <c r="X41" s="167"/>
      <c r="Y41" s="156">
        <f>Y40-K41-L41+1</f>
        <v>-2853013</v>
      </c>
      <c r="Z41" s="217"/>
      <c r="AD41" s="1"/>
      <c r="AE41" s="1"/>
    </row>
    <row r="42" spans="2:31">
      <c r="B42" s="116">
        <v>44902</v>
      </c>
      <c r="C42" s="14" t="str">
        <f t="shared" si="0"/>
        <v/>
      </c>
      <c r="D42" s="87">
        <f>-2627+1381</f>
        <v>-1246</v>
      </c>
      <c r="E42" s="87">
        <v>0</v>
      </c>
      <c r="F42" s="23">
        <v>-4475512</v>
      </c>
      <c r="G42" s="26">
        <f>D42+E42+F42-E41-F41</f>
        <v>-197</v>
      </c>
      <c r="H42" s="132">
        <v>-2900</v>
      </c>
      <c r="I42" s="25">
        <v>-7400</v>
      </c>
      <c r="J42" s="25">
        <v>-700</v>
      </c>
      <c r="K42" s="170">
        <f t="shared" si="8"/>
        <v>-11000</v>
      </c>
      <c r="L42" s="171">
        <v>40</v>
      </c>
      <c r="M42" s="153"/>
      <c r="N42" s="149">
        <f t="shared" si="9"/>
        <v>-11157</v>
      </c>
      <c r="O42" s="67">
        <f t="shared" si="2"/>
        <v>48548.811111111296</v>
      </c>
      <c r="P42" s="7">
        <f t="shared" si="5"/>
        <v>1747757.2000000067</v>
      </c>
      <c r="Q42" s="164">
        <f>Q41+N42</f>
        <v>188169.45000000019</v>
      </c>
      <c r="R42" s="29">
        <f t="shared" si="3"/>
        <v>129.03802993720285</v>
      </c>
      <c r="S42" s="5">
        <f>SUM($Q$7:$Q42)/T42-1</f>
        <v>215734.81111111131</v>
      </c>
      <c r="T42" s="18">
        <v>36</v>
      </c>
      <c r="U42" s="138"/>
      <c r="V42" s="137"/>
      <c r="W42" s="105">
        <v>-2842052</v>
      </c>
      <c r="X42" s="167"/>
      <c r="Y42" s="156">
        <f t="shared" ref="Y42:Y51" si="13">Y41-K42-L42+1</f>
        <v>-2842052</v>
      </c>
      <c r="Z42" s="217"/>
      <c r="AD42" s="1"/>
      <c r="AE42" s="1"/>
    </row>
    <row r="43" spans="2:31">
      <c r="B43" s="116">
        <v>44903</v>
      </c>
      <c r="C43" s="14" t="str">
        <f t="shared" si="0"/>
        <v/>
      </c>
      <c r="D43" s="87"/>
      <c r="E43" s="87">
        <v>0</v>
      </c>
      <c r="F43" s="23">
        <v>-4428558</v>
      </c>
      <c r="G43" s="26">
        <f>D43+E43+F43-E42-F42</f>
        <v>46954</v>
      </c>
      <c r="H43" s="132">
        <v>300</v>
      </c>
      <c r="I43" s="25">
        <v>-2600</v>
      </c>
      <c r="J43" s="25">
        <v>-700</v>
      </c>
      <c r="K43" s="170">
        <f t="shared" si="8"/>
        <v>-3000</v>
      </c>
      <c r="L43" s="171">
        <v>-47</v>
      </c>
      <c r="M43" s="153"/>
      <c r="N43" s="149">
        <f t="shared" si="9"/>
        <v>43907</v>
      </c>
      <c r="O43" s="67">
        <f t="shared" si="2"/>
        <v>48990.50405405424</v>
      </c>
      <c r="P43" s="7">
        <f t="shared" si="5"/>
        <v>1812648.6500000069</v>
      </c>
      <c r="Q43" s="164">
        <f>Q42+N43+2</f>
        <v>232078.45000000019</v>
      </c>
      <c r="R43" s="29">
        <f t="shared" si="3"/>
        <v>129.24659456420312</v>
      </c>
      <c r="S43" s="5">
        <f>SUM($Q$7:$Q43)/T43-94</f>
        <v>216083.50405405424</v>
      </c>
      <c r="T43" s="18">
        <v>37</v>
      </c>
      <c r="U43" s="138"/>
      <c r="V43" s="137"/>
      <c r="W43" s="105">
        <v>-2839007</v>
      </c>
      <c r="X43" s="167"/>
      <c r="Y43" s="156">
        <f>Y42-K43-L43-2</f>
        <v>-2839007</v>
      </c>
      <c r="Z43" s="217"/>
      <c r="AD43" s="1"/>
      <c r="AE43" s="1"/>
    </row>
    <row r="44" spans="2:31">
      <c r="B44" s="116">
        <v>44904</v>
      </c>
      <c r="C44" s="14" t="str">
        <f t="shared" si="0"/>
        <v/>
      </c>
      <c r="D44" s="87"/>
      <c r="E44" s="87">
        <v>0</v>
      </c>
      <c r="F44" s="23">
        <v>-4476095</v>
      </c>
      <c r="G44" s="26">
        <f>D44+E44+F44-E43-F43</f>
        <v>-47537</v>
      </c>
      <c r="H44" s="132">
        <v>300</v>
      </c>
      <c r="I44" s="25">
        <v>13700</v>
      </c>
      <c r="J44" s="25">
        <v>-700</v>
      </c>
      <c r="K44" s="170">
        <f t="shared" si="8"/>
        <v>13300</v>
      </c>
      <c r="L44" s="171">
        <v>25</v>
      </c>
      <c r="M44" s="153"/>
      <c r="N44" s="149">
        <f t="shared" si="9"/>
        <v>-34212</v>
      </c>
      <c r="O44" s="67">
        <f t="shared" si="2"/>
        <v>48508.607894737026</v>
      </c>
      <c r="P44" s="7">
        <f t="shared" si="5"/>
        <v>1843327.1000000071</v>
      </c>
      <c r="Q44" s="164">
        <f>Q43+N44-1</f>
        <v>197865.45000000019</v>
      </c>
      <c r="R44" s="29">
        <f t="shared" si="3"/>
        <v>129.01517934692112</v>
      </c>
      <c r="S44" s="5">
        <f>SUM($Q$7:$Q44)/T44+1</f>
        <v>215696.60789473704</v>
      </c>
      <c r="T44" s="18">
        <v>38</v>
      </c>
      <c r="U44" s="138"/>
      <c r="V44" s="137"/>
      <c r="W44" s="105">
        <v>-2852331</v>
      </c>
      <c r="X44" s="167"/>
      <c r="Y44" s="156">
        <f>Y43-K44-L44+1</f>
        <v>-2852331</v>
      </c>
      <c r="Z44" s="217"/>
      <c r="AD44" s="1"/>
      <c r="AE44" s="1"/>
    </row>
    <row r="45" spans="2:31">
      <c r="B45" s="116">
        <v>44905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48051.424358974546</v>
      </c>
      <c r="P45" s="7">
        <f t="shared" si="5"/>
        <v>1874005.5500000073</v>
      </c>
      <c r="Q45" s="164">
        <f t="shared" ref="Q45:Q46" si="14">Q44+N45</f>
        <v>197865.45000000019</v>
      </c>
      <c r="R45" s="29">
        <f t="shared" si="3"/>
        <v>128.74172295631513</v>
      </c>
      <c r="S45" s="5">
        <f>SUM($Q$7:$Q45)/T45+1</f>
        <v>215239.42435897456</v>
      </c>
      <c r="T45" s="18">
        <v>39</v>
      </c>
      <c r="U45" s="138"/>
      <c r="V45" s="137"/>
      <c r="W45" s="105">
        <v>-2852331</v>
      </c>
      <c r="X45" s="167"/>
      <c r="Y45" s="156">
        <f>Y44-K45-L45</f>
        <v>-2852331</v>
      </c>
      <c r="Z45" s="217"/>
      <c r="AD45" s="1"/>
      <c r="AE45" s="1"/>
    </row>
    <row r="46" spans="2:31">
      <c r="B46" s="116">
        <v>44906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47617.100000000188</v>
      </c>
      <c r="P46" s="7">
        <f t="shared" si="5"/>
        <v>1904684.0000000075</v>
      </c>
      <c r="Q46" s="164">
        <f t="shared" si="14"/>
        <v>197865.45000000019</v>
      </c>
      <c r="R46" s="29">
        <f t="shared" si="3"/>
        <v>128.4819393852394</v>
      </c>
      <c r="S46" s="5">
        <f>SUM($Q$7:$Q46)/T46+1</f>
        <v>214805.10000000018</v>
      </c>
      <c r="T46" s="18">
        <v>40</v>
      </c>
      <c r="U46" s="138"/>
      <c r="V46" s="137"/>
      <c r="W46" s="105">
        <v>-2852331</v>
      </c>
      <c r="X46" s="167"/>
      <c r="Y46" s="156">
        <f>Y45-K46-L46</f>
        <v>-2852331</v>
      </c>
      <c r="Z46" s="217"/>
      <c r="AD46" s="1"/>
      <c r="AE46" s="1"/>
    </row>
    <row r="47" spans="2:31">
      <c r="B47" s="116">
        <v>44907</v>
      </c>
      <c r="C47" s="14" t="str">
        <f t="shared" si="0"/>
        <v/>
      </c>
      <c r="D47" s="87"/>
      <c r="E47" s="87">
        <v>7</v>
      </c>
      <c r="F47" s="23">
        <v>-4465176</v>
      </c>
      <c r="G47" s="26">
        <f>D47+E47+F47-E44-F44</f>
        <v>10926</v>
      </c>
      <c r="H47" s="132">
        <v>300</v>
      </c>
      <c r="I47" s="25">
        <v>-14000</v>
      </c>
      <c r="J47" s="25">
        <v>-300</v>
      </c>
      <c r="K47" s="170">
        <f t="shared" si="8"/>
        <v>-14000</v>
      </c>
      <c r="L47" s="171">
        <v>43</v>
      </c>
      <c r="M47" s="153"/>
      <c r="N47" s="149">
        <f t="shared" si="9"/>
        <v>-3031</v>
      </c>
      <c r="O47" s="67">
        <f t="shared" si="2"/>
        <v>47129.986585366038</v>
      </c>
      <c r="P47" s="7">
        <f t="shared" si="5"/>
        <v>1932329.4500000076</v>
      </c>
      <c r="Q47" s="164">
        <f>Q46+N47-2</f>
        <v>194832.45000000019</v>
      </c>
      <c r="R47" s="29">
        <f t="shared" si="3"/>
        <v>136.84137318413875</v>
      </c>
      <c r="S47" s="5">
        <f>SUM($Q$7:$Q47)/T47+1+14465-2</f>
        <v>228780.98658536602</v>
      </c>
      <c r="T47" s="18">
        <v>41</v>
      </c>
      <c r="U47" s="138">
        <f>B47</f>
        <v>44907</v>
      </c>
      <c r="V47" s="137">
        <v>2094.1999999999998</v>
      </c>
      <c r="W47" s="105">
        <v>-2838373</v>
      </c>
      <c r="X47" s="167">
        <f>AVERAGE(W47:W55)</f>
        <v>-2833301.777777778</v>
      </c>
      <c r="Y47" s="156">
        <f t="shared" si="13"/>
        <v>-2838373</v>
      </c>
      <c r="Z47" s="217">
        <f>AVERAGE(Y47:Y55)</f>
        <v>-2833301.777777778</v>
      </c>
      <c r="AD47" s="1"/>
      <c r="AE47" s="1"/>
    </row>
    <row r="48" spans="2:31">
      <c r="B48" s="116">
        <v>44908</v>
      </c>
      <c r="C48" s="14" t="str">
        <f t="shared" si="0"/>
        <v/>
      </c>
      <c r="D48" s="87"/>
      <c r="E48" s="87">
        <v>0</v>
      </c>
      <c r="F48" s="23">
        <v>-4461420</v>
      </c>
      <c r="G48" s="26">
        <f>D48+E48+F48-E47-F47</f>
        <v>3749</v>
      </c>
      <c r="H48" s="132">
        <v>300</v>
      </c>
      <c r="I48" s="25">
        <v>8800</v>
      </c>
      <c r="J48" s="25">
        <v>-300</v>
      </c>
      <c r="K48" s="170">
        <f t="shared" si="8"/>
        <v>8800</v>
      </c>
      <c r="L48" s="171">
        <v>-10</v>
      </c>
      <c r="M48" s="153"/>
      <c r="N48" s="149">
        <f t="shared" si="9"/>
        <v>12539</v>
      </c>
      <c r="O48" s="67">
        <f t="shared" si="2"/>
        <v>46964.592857143041</v>
      </c>
      <c r="P48" s="7">
        <f t="shared" si="5"/>
        <v>1972512.9000000078</v>
      </c>
      <c r="Q48" s="164">
        <f>Q47+N48-1</f>
        <v>207370.45000000019</v>
      </c>
      <c r="R48" s="29">
        <f t="shared" si="3"/>
        <v>128.04141043092045</v>
      </c>
      <c r="S48" s="5">
        <f>SUM($Q$7:$Q48)/T48-83</f>
        <v>214068.592857143</v>
      </c>
      <c r="T48" s="18">
        <v>42</v>
      </c>
      <c r="U48" s="138">
        <f>B47+8</f>
        <v>44915</v>
      </c>
      <c r="V48" s="137"/>
      <c r="W48" s="105">
        <v>-2847162</v>
      </c>
      <c r="X48" s="167"/>
      <c r="Y48" s="156">
        <f t="shared" si="13"/>
        <v>-2847162</v>
      </c>
      <c r="Z48" s="217"/>
      <c r="AD48" s="1"/>
      <c r="AE48" s="1"/>
    </row>
    <row r="49" spans="2:31">
      <c r="B49" s="116">
        <v>44909</v>
      </c>
      <c r="C49" s="14" t="str">
        <f t="shared" si="0"/>
        <v/>
      </c>
      <c r="D49" s="87">
        <f>-1381+1458</f>
        <v>77</v>
      </c>
      <c r="E49" s="87">
        <v>0</v>
      </c>
      <c r="F49" s="23">
        <v>-4490560</v>
      </c>
      <c r="G49" s="26">
        <f t="shared" ref="G49:G55" si="15">D49+E49+F49-E48-F48</f>
        <v>-29063</v>
      </c>
      <c r="H49" s="132">
        <v>300</v>
      </c>
      <c r="I49" s="25">
        <v>18600</v>
      </c>
      <c r="J49" s="25">
        <v>-300</v>
      </c>
      <c r="K49" s="170">
        <f t="shared" si="8"/>
        <v>18600</v>
      </c>
      <c r="L49" s="171">
        <v>-31</v>
      </c>
      <c r="M49" s="153"/>
      <c r="N49" s="149">
        <f t="shared" si="9"/>
        <v>-10494</v>
      </c>
      <c r="O49" s="67">
        <f t="shared" si="2"/>
        <v>46562.822093023446</v>
      </c>
      <c r="P49" s="7">
        <f t="shared" si="5"/>
        <v>2002201.350000008</v>
      </c>
      <c r="Q49" s="164">
        <f>Q48+N49-1</f>
        <v>196875.45000000019</v>
      </c>
      <c r="R49" s="29">
        <f t="shared" si="3"/>
        <v>127.80109822714887</v>
      </c>
      <c r="S49" s="5">
        <f>SUM($Q$7:$Q49)/T49-83</f>
        <v>213666.82209302337</v>
      </c>
      <c r="T49" s="18">
        <v>43</v>
      </c>
      <c r="U49" s="138"/>
      <c r="V49" s="137"/>
      <c r="W49" s="105">
        <v>-2865730</v>
      </c>
      <c r="X49" s="167"/>
      <c r="Y49" s="156">
        <f t="shared" si="13"/>
        <v>-2865730</v>
      </c>
      <c r="Z49" s="217"/>
      <c r="AD49" s="1"/>
      <c r="AE49" s="1"/>
    </row>
    <row r="50" spans="2:31">
      <c r="B50" s="116">
        <v>44910</v>
      </c>
      <c r="C50" s="14" t="str">
        <f t="shared" si="0"/>
        <v/>
      </c>
      <c r="D50" s="87"/>
      <c r="E50" s="87">
        <v>1</v>
      </c>
      <c r="F50" s="23">
        <v>-4433832</v>
      </c>
      <c r="G50" s="26">
        <f t="shared" si="15"/>
        <v>56729</v>
      </c>
      <c r="H50" s="132">
        <v>300</v>
      </c>
      <c r="I50" s="25">
        <v>-34900</v>
      </c>
      <c r="J50" s="25">
        <v>-300</v>
      </c>
      <c r="K50" s="170">
        <f t="shared" si="8"/>
        <v>-34900</v>
      </c>
      <c r="L50" s="171">
        <v>-4</v>
      </c>
      <c r="M50" s="153"/>
      <c r="N50" s="149">
        <f t="shared" si="9"/>
        <v>21825</v>
      </c>
      <c r="O50" s="67">
        <f t="shared" si="2"/>
        <v>46675.313636363826</v>
      </c>
      <c r="P50" s="7">
        <f t="shared" si="5"/>
        <v>2053713.8000000082</v>
      </c>
      <c r="Q50" s="164">
        <f>Q49+N50-1</f>
        <v>218699.45000000019</v>
      </c>
      <c r="R50" s="29">
        <f t="shared" si="3"/>
        <v>127.86838308981186</v>
      </c>
      <c r="S50" s="5">
        <f>SUM($Q$7:$Q50)/T50-83</f>
        <v>213779.31363636375</v>
      </c>
      <c r="T50" s="18">
        <v>44</v>
      </c>
      <c r="U50" s="138"/>
      <c r="V50" s="137"/>
      <c r="W50" s="105">
        <v>-2830825</v>
      </c>
      <c r="X50" s="167"/>
      <c r="Y50" s="156">
        <f t="shared" si="13"/>
        <v>-2830825</v>
      </c>
      <c r="Z50" s="217"/>
      <c r="AD50" s="1"/>
      <c r="AE50" s="1"/>
    </row>
    <row r="51" spans="2:31">
      <c r="B51" s="116">
        <v>44911</v>
      </c>
      <c r="C51" s="14" t="str">
        <f t="shared" si="0"/>
        <v/>
      </c>
      <c r="D51" s="87"/>
      <c r="E51" s="87">
        <v>0</v>
      </c>
      <c r="F51" s="23">
        <v>-4441940</v>
      </c>
      <c r="G51" s="26">
        <f t="shared" si="15"/>
        <v>-8109</v>
      </c>
      <c r="H51" s="132">
        <v>5300</v>
      </c>
      <c r="I51" s="25">
        <v>-11700</v>
      </c>
      <c r="J51" s="25">
        <v>-300</v>
      </c>
      <c r="K51" s="170">
        <f t="shared" si="8"/>
        <v>-6700</v>
      </c>
      <c r="L51" s="171">
        <v>18</v>
      </c>
      <c r="M51" s="153"/>
      <c r="N51" s="149">
        <f>L51+K51+G51+M51</f>
        <v>-14791</v>
      </c>
      <c r="O51" s="67">
        <f t="shared" si="2"/>
        <v>46454.094444444629</v>
      </c>
      <c r="P51" s="7">
        <f t="shared" si="5"/>
        <v>2090434.2500000084</v>
      </c>
      <c r="Q51" s="164">
        <f>Q50+N51-1</f>
        <v>203907.45000000019</v>
      </c>
      <c r="R51" s="29">
        <f t="shared" si="3"/>
        <v>127.73606467275836</v>
      </c>
      <c r="S51" s="5">
        <f>SUM($Q$7:$Q51)/T51-83</f>
        <v>213558.09444444452</v>
      </c>
      <c r="T51" s="18">
        <v>45</v>
      </c>
      <c r="U51" s="138"/>
      <c r="V51" s="137"/>
      <c r="W51" s="105">
        <v>-2824142</v>
      </c>
      <c r="X51" s="167"/>
      <c r="Y51" s="156">
        <f t="shared" si="13"/>
        <v>-2824142</v>
      </c>
      <c r="Z51" s="217"/>
      <c r="AD51" s="1"/>
      <c r="AE51" s="1"/>
    </row>
    <row r="52" spans="2:31">
      <c r="B52" s="116">
        <v>44912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46242.493478261058</v>
      </c>
      <c r="P52" s="7">
        <f t="shared" si="5"/>
        <v>2127154.7000000086</v>
      </c>
      <c r="Q52" s="164">
        <f>Q51+N52</f>
        <v>203907.45000000019</v>
      </c>
      <c r="R52" s="29">
        <f t="shared" si="3"/>
        <v>127.60949923035938</v>
      </c>
      <c r="S52" s="5">
        <f>SUM($Q$7:$Q52)/T52-83</f>
        <v>213346.49347826093</v>
      </c>
      <c r="T52" s="18">
        <v>46</v>
      </c>
      <c r="U52" s="138"/>
      <c r="V52" s="137"/>
      <c r="W52" s="105">
        <v>-2824142</v>
      </c>
      <c r="X52" s="167"/>
      <c r="Y52" s="156">
        <f>Y51-K52-L52</f>
        <v>-2824142</v>
      </c>
      <c r="Z52" s="217"/>
      <c r="AD52" s="1"/>
      <c r="AE52" s="1"/>
    </row>
    <row r="53" spans="2:31">
      <c r="B53" s="116">
        <v>44913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46039.896808510828</v>
      </c>
      <c r="P53" s="7">
        <f t="shared" si="5"/>
        <v>2163875.1500000088</v>
      </c>
      <c r="Q53" s="164">
        <f>Q52+N53</f>
        <v>203907.45000000019</v>
      </c>
      <c r="R53" s="29">
        <f t="shared" si="3"/>
        <v>127.48831955146673</v>
      </c>
      <c r="S53" s="5">
        <f>SUM($Q$7:$Q53)/T53-83</f>
        <v>213143.89680851068</v>
      </c>
      <c r="T53" s="18">
        <v>47</v>
      </c>
      <c r="U53" s="138"/>
      <c r="V53" s="137"/>
      <c r="W53" s="105">
        <v>-2824142</v>
      </c>
      <c r="X53" s="167"/>
      <c r="Y53" s="156">
        <f>Y52-K53-L53</f>
        <v>-2824142</v>
      </c>
      <c r="Z53" s="217"/>
      <c r="AD53" s="1"/>
      <c r="AE53" s="1"/>
    </row>
    <row r="54" spans="2:31">
      <c r="B54" s="116">
        <v>44914</v>
      </c>
      <c r="C54" s="14" t="str">
        <f t="shared" si="0"/>
        <v/>
      </c>
      <c r="D54" s="87"/>
      <c r="E54" s="87">
        <v>1</v>
      </c>
      <c r="F54" s="23">
        <v>-4407558</v>
      </c>
      <c r="G54" s="26">
        <f>D54+E54+F54-E51-F51</f>
        <v>34383</v>
      </c>
      <c r="H54" s="132">
        <v>-200</v>
      </c>
      <c r="I54" s="25">
        <v>3600</v>
      </c>
      <c r="J54" s="25">
        <v>-1400</v>
      </c>
      <c r="K54" s="170">
        <f t="shared" si="8"/>
        <v>2000</v>
      </c>
      <c r="L54" s="171">
        <v>-20</v>
      </c>
      <c r="M54" s="153"/>
      <c r="N54" s="149">
        <f>L54+K54+G54+M54</f>
        <v>36363</v>
      </c>
      <c r="O54" s="67">
        <f t="shared" si="2"/>
        <v>46603.241666666851</v>
      </c>
      <c r="P54" s="7">
        <f t="shared" si="5"/>
        <v>2236955.6000000089</v>
      </c>
      <c r="Q54" s="164">
        <f>Q53+N54-3</f>
        <v>240267.45000000019</v>
      </c>
      <c r="R54" s="29">
        <f t="shared" si="3"/>
        <v>127.87133070553733</v>
      </c>
      <c r="S54" s="5">
        <f>SUM($Q$7:$Q54)/T54-6</f>
        <v>213784.2416666667</v>
      </c>
      <c r="T54" s="18">
        <v>48</v>
      </c>
      <c r="U54" s="138"/>
      <c r="V54" s="137"/>
      <c r="W54" s="105">
        <v>-2826122</v>
      </c>
      <c r="X54" s="167"/>
      <c r="Y54" s="156">
        <f>Y53-K54-L54</f>
        <v>-2826122</v>
      </c>
      <c r="Z54" s="217"/>
      <c r="AD54" s="1"/>
      <c r="AE54" s="1"/>
    </row>
    <row r="55" spans="2:31">
      <c r="B55" s="116">
        <v>44915</v>
      </c>
      <c r="C55" s="14" t="str">
        <f t="shared" si="0"/>
        <v/>
      </c>
      <c r="D55" s="87"/>
      <c r="E55" s="87">
        <v>3</v>
      </c>
      <c r="F55" s="23">
        <v>-4427616</v>
      </c>
      <c r="G55" s="26">
        <f t="shared" si="15"/>
        <v>-20056</v>
      </c>
      <c r="H55" s="132">
        <v>-18900</v>
      </c>
      <c r="I55" s="25">
        <v>13300</v>
      </c>
      <c r="J55" s="25">
        <v>-1400</v>
      </c>
      <c r="K55" s="170">
        <f t="shared" si="8"/>
        <v>-7000</v>
      </c>
      <c r="L55" s="171">
        <v>-44</v>
      </c>
      <c r="M55" s="153"/>
      <c r="N55" s="149">
        <f t="shared" si="9"/>
        <v>-27100</v>
      </c>
      <c r="O55" s="67">
        <f t="shared" si="2"/>
        <v>46590.531632653248</v>
      </c>
      <c r="P55" s="7">
        <f t="shared" si="5"/>
        <v>2282936.0500000091</v>
      </c>
      <c r="Q55" s="164">
        <f>Q54+N55</f>
        <v>213167.45000000019</v>
      </c>
      <c r="R55" s="29">
        <f t="shared" si="3"/>
        <v>127.86313028683635</v>
      </c>
      <c r="S55" s="5">
        <f>SUM($Q$7:$Q55)/T55-7</f>
        <v>213770.53163265309</v>
      </c>
      <c r="T55" s="18">
        <v>49</v>
      </c>
      <c r="U55" s="138"/>
      <c r="V55" s="137"/>
      <c r="W55" s="105">
        <v>-2819078</v>
      </c>
      <c r="X55" s="167"/>
      <c r="Y55" s="156">
        <f>Y54-K55-L55</f>
        <v>-2819078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2022'!Q55</f>
        <v>312081.45000000019</v>
      </c>
    </row>
    <row r="60" spans="2:31">
      <c r="D60" s="138" t="s">
        <v>4</v>
      </c>
      <c r="E60" s="139"/>
      <c r="F60" s="143"/>
      <c r="G60" s="91">
        <f>'OCT 2022'!E55</f>
        <v>26</v>
      </c>
    </row>
    <row r="61" spans="2:31">
      <c r="D61" s="138" t="s">
        <v>60</v>
      </c>
      <c r="E61" s="144"/>
      <c r="F61" s="143"/>
      <c r="G61" s="91">
        <f>'OCT 2022'!F55</f>
        <v>-4513481</v>
      </c>
    </row>
    <row r="62" spans="2:31" ht="12.75" thickBot="1">
      <c r="D62" s="140" t="s">
        <v>46</v>
      </c>
      <c r="E62" s="145"/>
      <c r="F62" s="146"/>
      <c r="G62" s="158">
        <f>'OCT 2022'!Y55</f>
        <v>-2704678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A4C1-1F6F-41E3-A049-4D8D66EDC1D9}">
  <sheetPr codeName="Sheet37">
    <pageSetUpPr fitToPage="1"/>
  </sheetPr>
  <dimension ref="B1:IU65513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168086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44916</v>
      </c>
      <c r="C7" s="196" t="str">
        <f t="shared" ref="C7:C55" si="0">IF(OR(WEEKDAY(B7)=1,WEEKDAY(B7)=7),"F","")</f>
        <v/>
      </c>
      <c r="D7" s="197">
        <f>-447494-1381-1458+1278-50517</f>
        <v>-499572</v>
      </c>
      <c r="E7" s="197">
        <v>204</v>
      </c>
      <c r="F7" s="198">
        <v>-3774735</v>
      </c>
      <c r="G7" s="199">
        <f>D7+E7+F7-G60-G61</f>
        <v>153510</v>
      </c>
      <c r="H7" s="132">
        <v>-15700</v>
      </c>
      <c r="I7" s="63">
        <v>31800</v>
      </c>
      <c r="J7" s="63">
        <v>-1300</v>
      </c>
      <c r="K7" s="170">
        <f t="shared" ref="K7:K9" si="1">+H7+I7+J7</f>
        <v>14800</v>
      </c>
      <c r="L7" s="169">
        <v>-14</v>
      </c>
      <c r="M7" s="203"/>
      <c r="N7" s="204">
        <f>L7+K7+G7+M7</f>
        <v>168296</v>
      </c>
      <c r="O7" s="205">
        <f t="shared" ref="O7:O55" si="2">P7/T7</f>
        <v>213376.45000000019</v>
      </c>
      <c r="P7" s="206">
        <f>(+$Q7-$Q$3)</f>
        <v>213376.45000000019</v>
      </c>
      <c r="Q7" s="207">
        <f>G59+N7-1</f>
        <v>381462.45000000019</v>
      </c>
      <c r="R7" s="208">
        <f t="shared" ref="R7:R55" si="3">$S7/$Q$3*100</f>
        <v>226.94480801494484</v>
      </c>
      <c r="S7" s="209">
        <f>$Q7</f>
        <v>381462.45000000019</v>
      </c>
      <c r="T7" s="210">
        <v>1</v>
      </c>
      <c r="U7" s="211">
        <f>B7</f>
        <v>44916</v>
      </c>
      <c r="V7" s="212">
        <v>2094.1999999999998</v>
      </c>
      <c r="W7" s="213">
        <v>-2833864</v>
      </c>
      <c r="X7" s="214">
        <f>AVERAGE(W7:W11)</f>
        <v>-2866453.6</v>
      </c>
      <c r="Y7" s="215">
        <f>G62-K7-L7+4</f>
        <v>-2833860</v>
      </c>
      <c r="Z7" s="216">
        <f>AVERAGE(Y7:Y13)</f>
        <v>-2863032.5714285714</v>
      </c>
      <c r="AA7" s="92"/>
    </row>
    <row r="8" spans="2:255">
      <c r="B8" s="116">
        <v>44917</v>
      </c>
      <c r="C8" s="14"/>
      <c r="D8" s="87">
        <f>-722+1288</f>
        <v>566</v>
      </c>
      <c r="E8" s="128">
        <v>0</v>
      </c>
      <c r="F8" s="162">
        <v>-3913451</v>
      </c>
      <c r="G8" s="26">
        <f>D8+E8+F8-E7-F7</f>
        <v>-138354</v>
      </c>
      <c r="H8" s="132">
        <v>-500</v>
      </c>
      <c r="I8" s="63">
        <v>43900</v>
      </c>
      <c r="J8" s="63">
        <v>-1300</v>
      </c>
      <c r="K8" s="170">
        <f t="shared" si="1"/>
        <v>42100</v>
      </c>
      <c r="L8" s="171">
        <v>-2</v>
      </c>
      <c r="M8" s="153"/>
      <c r="N8" s="149">
        <f>L8+K8+G8+M8</f>
        <v>-96256</v>
      </c>
      <c r="O8" s="67">
        <f t="shared" si="2"/>
        <v>164490.45000000019</v>
      </c>
      <c r="P8" s="163">
        <f>(IF($Q8&lt;0,-$Q$3+P7,($Q8-$Q$3)+P7))</f>
        <v>328980.90000000037</v>
      </c>
      <c r="Q8" s="164">
        <f>Q7+N8-1516</f>
        <v>283690.45000000019</v>
      </c>
      <c r="R8" s="29">
        <f t="shared" si="3"/>
        <v>197.86088668895695</v>
      </c>
      <c r="S8" s="165">
        <f>SUM($Q$7:$Q8)/T8</f>
        <v>332576.45000000019</v>
      </c>
      <c r="T8" s="166">
        <v>2</v>
      </c>
      <c r="U8" s="138">
        <f>B7+6</f>
        <v>44922</v>
      </c>
      <c r="V8" s="131"/>
      <c r="W8" s="105">
        <v>-2874442</v>
      </c>
      <c r="X8" s="167"/>
      <c r="Y8" s="156">
        <f>Y7-K8-L8+1516</f>
        <v>-2874442</v>
      </c>
      <c r="Z8" s="217"/>
      <c r="AA8" s="92"/>
    </row>
    <row r="9" spans="2:255">
      <c r="B9" s="116">
        <v>44918</v>
      </c>
      <c r="C9" s="14" t="str">
        <f t="shared" si="0"/>
        <v/>
      </c>
      <c r="D9" s="87"/>
      <c r="E9" s="87">
        <v>157</v>
      </c>
      <c r="F9" s="23">
        <v>-4004387</v>
      </c>
      <c r="G9" s="26">
        <f>D9+E9+F9-E8-F8</f>
        <v>-90779</v>
      </c>
      <c r="H9" s="132">
        <v>-3700</v>
      </c>
      <c r="I9" s="63">
        <v>5200</v>
      </c>
      <c r="J9" s="63">
        <v>-1300</v>
      </c>
      <c r="K9" s="170">
        <f t="shared" si="1"/>
        <v>200</v>
      </c>
      <c r="L9" s="171">
        <v>13</v>
      </c>
      <c r="M9" s="153"/>
      <c r="N9" s="149">
        <f>L9+K9+G9+M9</f>
        <v>-90566</v>
      </c>
      <c r="O9" s="67">
        <f t="shared" si="2"/>
        <v>118006.45000000019</v>
      </c>
      <c r="P9" s="163">
        <f t="shared" ref="P9" si="4">(IF($Q9&lt;0,-$Q$3+P8,($Q9-$Q$3)+P8))</f>
        <v>354019.35000000056</v>
      </c>
      <c r="Q9" s="164">
        <f>Q8+N9</f>
        <v>193124.45000000019</v>
      </c>
      <c r="R9" s="29">
        <f t="shared" si="3"/>
        <v>170.20659067382184</v>
      </c>
      <c r="S9" s="5">
        <f>SUM($Q$7:$Q9)/T9+1</f>
        <v>286093.45000000019</v>
      </c>
      <c r="T9" s="17">
        <v>3</v>
      </c>
      <c r="U9" s="4"/>
      <c r="V9" s="131"/>
      <c r="W9" s="105">
        <v>-2874654</v>
      </c>
      <c r="X9" s="167"/>
      <c r="Y9" s="156">
        <f>Y8-K9-L9+1</f>
        <v>-2874654</v>
      </c>
      <c r="Z9" s="217"/>
      <c r="AA9" s="92"/>
    </row>
    <row r="10" spans="2:255">
      <c r="B10" s="116">
        <v>44919</v>
      </c>
      <c r="C10" s="14" t="str">
        <f t="shared" si="0"/>
        <v>F</v>
      </c>
      <c r="D10" s="311"/>
      <c r="E10" s="312"/>
      <c r="F10" s="313"/>
      <c r="G10" s="314"/>
      <c r="H10" s="315"/>
      <c r="I10" s="316"/>
      <c r="J10" s="316"/>
      <c r="K10" s="315"/>
      <c r="L10" s="317"/>
      <c r="M10" s="153"/>
      <c r="N10" s="149"/>
      <c r="O10" s="67">
        <f t="shared" si="2"/>
        <v>94764.450000000186</v>
      </c>
      <c r="P10" s="163">
        <f>(IF($Q10&lt;0,-$Q$3+P9,($Q10-$Q$3)+P9))</f>
        <v>379057.80000000075</v>
      </c>
      <c r="Q10" s="164">
        <f>Q9+N10</f>
        <v>193124.45000000019</v>
      </c>
      <c r="R10" s="29">
        <f t="shared" si="3"/>
        <v>156.37795533238946</v>
      </c>
      <c r="S10" s="5">
        <f>SUM($Q$7:$Q10)/T10-1</f>
        <v>262849.45000000019</v>
      </c>
      <c r="T10" s="17">
        <v>4</v>
      </c>
      <c r="U10" s="27"/>
      <c r="V10" s="133"/>
      <c r="W10" s="105">
        <v>-2874654</v>
      </c>
      <c r="X10" s="167"/>
      <c r="Y10" s="156">
        <f>Y9-K10-L10</f>
        <v>-2874654</v>
      </c>
      <c r="Z10" s="217"/>
      <c r="AA10" s="92"/>
    </row>
    <row r="11" spans="2:255">
      <c r="B11" s="116">
        <v>44920</v>
      </c>
      <c r="C11" s="14" t="str">
        <f t="shared" si="0"/>
        <v>F</v>
      </c>
      <c r="D11" s="312"/>
      <c r="E11" s="318"/>
      <c r="F11" s="313"/>
      <c r="G11" s="314"/>
      <c r="H11" s="315"/>
      <c r="I11" s="316"/>
      <c r="J11" s="316"/>
      <c r="K11" s="315"/>
      <c r="L11" s="317"/>
      <c r="M11" s="153"/>
      <c r="N11" s="149"/>
      <c r="O11" s="67">
        <f t="shared" si="2"/>
        <v>80819.250000000189</v>
      </c>
      <c r="P11" s="163">
        <f t="shared" ref="P11:P55" si="5">(IF($Q11&lt;0,-$Q$3+P10,($Q11-$Q$3)+P10))</f>
        <v>404096.25000000093</v>
      </c>
      <c r="Q11" s="164">
        <f t="shared" ref="Q11:Q18" si="6">Q10+N11</f>
        <v>193124.45000000019</v>
      </c>
      <c r="R11" s="29">
        <f t="shared" si="3"/>
        <v>148.08148804778517</v>
      </c>
      <c r="S11" s="5">
        <f>SUM($Q$7:$Q11)/T11-1</f>
        <v>248904.25000000017</v>
      </c>
      <c r="T11" s="17">
        <v>5</v>
      </c>
      <c r="U11" s="27"/>
      <c r="V11" s="134"/>
      <c r="W11" s="105">
        <v>-2874654</v>
      </c>
      <c r="X11" s="167"/>
      <c r="Y11" s="156">
        <f t="shared" ref="Y11:Y39" si="7">Y10-K11-L11</f>
        <v>-2874654</v>
      </c>
      <c r="Z11" s="217"/>
      <c r="AA11" s="92"/>
    </row>
    <row r="12" spans="2:255">
      <c r="B12" s="116">
        <v>44921</v>
      </c>
      <c r="C12" s="14" t="s">
        <v>242</v>
      </c>
      <c r="D12" s="312"/>
      <c r="E12" s="319"/>
      <c r="F12" s="313"/>
      <c r="G12" s="314"/>
      <c r="H12" s="315"/>
      <c r="I12" s="316"/>
      <c r="J12" s="316"/>
      <c r="K12" s="315"/>
      <c r="L12" s="317"/>
      <c r="M12" s="153"/>
      <c r="N12" s="149">
        <f t="shared" ref="N12:N55" si="8">L12+K12+G12+M12</f>
        <v>0</v>
      </c>
      <c r="O12" s="67">
        <f t="shared" si="2"/>
        <v>71522.450000000186</v>
      </c>
      <c r="P12" s="163">
        <f t="shared" si="5"/>
        <v>429134.70000000112</v>
      </c>
      <c r="Q12" s="164">
        <f>Q11+N12</f>
        <v>193124.45000000019</v>
      </c>
      <c r="R12" s="29">
        <f t="shared" si="3"/>
        <v>142.5511047915949</v>
      </c>
      <c r="S12" s="5">
        <f>SUM($Q$7:$Q12)/T12</f>
        <v>239608.45000000019</v>
      </c>
      <c r="T12" s="17">
        <v>6</v>
      </c>
      <c r="U12" s="138">
        <v>44917</v>
      </c>
      <c r="V12" s="310">
        <v>2102.9</v>
      </c>
      <c r="W12" s="105">
        <v>-2874654</v>
      </c>
      <c r="X12" s="167">
        <f>AVERAGE(W12:W20)</f>
        <v>-2777791.6666666665</v>
      </c>
      <c r="Y12" s="156">
        <f>Y11-K12-L12</f>
        <v>-2874654</v>
      </c>
      <c r="Z12" s="217">
        <f>AVERAGE(Y12:Y20)</f>
        <v>-2777791.6666666665</v>
      </c>
      <c r="AA12" s="92"/>
    </row>
    <row r="13" spans="2:255">
      <c r="B13" s="116">
        <v>44922</v>
      </c>
      <c r="C13" s="14"/>
      <c r="D13" s="87"/>
      <c r="E13" s="87">
        <v>87</v>
      </c>
      <c r="F13" s="23">
        <v>-3963927</v>
      </c>
      <c r="G13" s="26">
        <f>D13+E13+F13-E9-F9</f>
        <v>40390</v>
      </c>
      <c r="H13" s="132">
        <v>300</v>
      </c>
      <c r="I13" s="63">
        <v>-39400</v>
      </c>
      <c r="J13" s="63">
        <v>-1200</v>
      </c>
      <c r="K13" s="170">
        <f t="shared" ref="K13:K55" si="9">+H13+I13+J13</f>
        <v>-40300</v>
      </c>
      <c r="L13" s="171">
        <v>-43</v>
      </c>
      <c r="M13" s="153"/>
      <c r="N13" s="149">
        <f t="shared" si="8"/>
        <v>47</v>
      </c>
      <c r="O13" s="67">
        <f t="shared" si="2"/>
        <v>64888.592857143041</v>
      </c>
      <c r="P13" s="163">
        <f t="shared" si="5"/>
        <v>454220.1500000013</v>
      </c>
      <c r="Q13" s="164">
        <f>Q12+N13</f>
        <v>193171.45000000019</v>
      </c>
      <c r="R13" s="29">
        <f t="shared" si="3"/>
        <v>138.60380570490287</v>
      </c>
      <c r="S13" s="5">
        <f>SUM($Q$7:$Q13)/T13-1</f>
        <v>232973.59285714306</v>
      </c>
      <c r="T13" s="17">
        <v>7</v>
      </c>
      <c r="U13" s="138">
        <f>B14+6</f>
        <v>44929</v>
      </c>
      <c r="V13" s="249"/>
      <c r="W13" s="105">
        <v>-2834310</v>
      </c>
      <c r="X13" s="167"/>
      <c r="Y13" s="156">
        <f>Y12-K13-L13+1</f>
        <v>-2834310</v>
      </c>
      <c r="Z13" s="217"/>
      <c r="AA13" s="92"/>
      <c r="AB13" s="92"/>
    </row>
    <row r="14" spans="2:255">
      <c r="B14" s="116">
        <v>44923</v>
      </c>
      <c r="C14" s="14"/>
      <c r="D14" s="87">
        <f>-1288+2406</f>
        <v>1118</v>
      </c>
      <c r="E14" s="87">
        <v>169</v>
      </c>
      <c r="F14" s="23">
        <v>-3966385</v>
      </c>
      <c r="G14" s="26">
        <f>D14+E14+F14-E13-F13</f>
        <v>-1258</v>
      </c>
      <c r="H14" s="132">
        <v>300</v>
      </c>
      <c r="I14" s="63">
        <v>-8900</v>
      </c>
      <c r="J14" s="63">
        <v>-1200</v>
      </c>
      <c r="K14" s="170">
        <f t="shared" si="9"/>
        <v>-9800</v>
      </c>
      <c r="L14" s="171">
        <v>-33</v>
      </c>
      <c r="M14" s="154"/>
      <c r="N14" s="149">
        <f>L14+K14+G14+M14</f>
        <v>-11091</v>
      </c>
      <c r="O14" s="67">
        <f>P14/T14+1</f>
        <v>58527.950000000186</v>
      </c>
      <c r="P14" s="163">
        <f t="shared" si="5"/>
        <v>468215.60000000149</v>
      </c>
      <c r="Q14" s="164">
        <f>Q13+N14+1</f>
        <v>182081.45000000019</v>
      </c>
      <c r="R14" s="29">
        <f t="shared" si="3"/>
        <v>134.81905096200765</v>
      </c>
      <c r="S14" s="5">
        <f>SUM($Q$7:$Q14)/T14-1</f>
        <v>226611.95000000019</v>
      </c>
      <c r="T14" s="17">
        <v>8</v>
      </c>
      <c r="U14" s="4"/>
      <c r="V14" s="4"/>
      <c r="W14" s="105">
        <v>-2824469</v>
      </c>
      <c r="X14" s="167"/>
      <c r="Y14" s="156">
        <f>Y13-K14-L14+8</f>
        <v>-2824469</v>
      </c>
      <c r="Z14" s="217"/>
      <c r="AA14" s="92"/>
    </row>
    <row r="15" spans="2:255">
      <c r="B15" s="116">
        <v>44924</v>
      </c>
      <c r="C15" s="14" t="str">
        <f t="shared" si="0"/>
        <v/>
      </c>
      <c r="D15" s="87"/>
      <c r="E15" s="87">
        <v>103</v>
      </c>
      <c r="F15" s="23">
        <v>-3921044</v>
      </c>
      <c r="G15" s="26">
        <f>D15+E15+F15-E14-F14</f>
        <v>45275</v>
      </c>
      <c r="H15" s="132">
        <v>300</v>
      </c>
      <c r="I15" s="63">
        <v>-42250</v>
      </c>
      <c r="J15" s="63">
        <v>-1200</v>
      </c>
      <c r="K15" s="170">
        <f t="shared" si="9"/>
        <v>-43150</v>
      </c>
      <c r="L15" s="172">
        <v>-31</v>
      </c>
      <c r="M15" s="153"/>
      <c r="N15" s="149">
        <f>L15+K15+G15+M15</f>
        <v>2094</v>
      </c>
      <c r="O15" s="67">
        <f t="shared" si="2"/>
        <v>53811.783333333522</v>
      </c>
      <c r="P15" s="7">
        <f t="shared" si="5"/>
        <v>484306.05000000168</v>
      </c>
      <c r="Q15" s="164">
        <f>Q14+N15+1</f>
        <v>184176.45000000019</v>
      </c>
      <c r="R15" s="29">
        <f t="shared" si="3"/>
        <v>132.01443507093603</v>
      </c>
      <c r="S15" s="5">
        <f>SUM($Q$7:$Q15)/T15</f>
        <v>221897.78333333353</v>
      </c>
      <c r="T15" s="17">
        <v>9</v>
      </c>
      <c r="U15" s="4"/>
      <c r="V15" s="4"/>
      <c r="W15" s="105">
        <v>-2781289</v>
      </c>
      <c r="X15" s="167"/>
      <c r="Y15" s="156">
        <f>Y14-K15-L15-1</f>
        <v>-2781289</v>
      </c>
      <c r="Z15" s="217"/>
      <c r="AA15" s="92"/>
      <c r="AB15" s="92"/>
    </row>
    <row r="16" spans="2:255" s="69" customFormat="1">
      <c r="B16" s="116">
        <v>44925</v>
      </c>
      <c r="C16" s="14"/>
      <c r="D16" s="129"/>
      <c r="E16" s="87">
        <v>519</v>
      </c>
      <c r="F16" s="23">
        <v>-3778787</v>
      </c>
      <c r="G16" s="26">
        <f>D16+E16+F16-E15-F15</f>
        <v>142673</v>
      </c>
      <c r="H16" s="132">
        <v>-11800</v>
      </c>
      <c r="I16" s="63">
        <v>-95000</v>
      </c>
      <c r="J16" s="63">
        <v>-1200</v>
      </c>
      <c r="K16" s="170">
        <f t="shared" si="9"/>
        <v>-108000</v>
      </c>
      <c r="L16" s="172">
        <v>33</v>
      </c>
      <c r="M16" s="153"/>
      <c r="N16" s="152">
        <f>L16+K16+G16+M16</f>
        <v>34706</v>
      </c>
      <c r="O16" s="67">
        <f t="shared" si="2"/>
        <v>53510.350000000188</v>
      </c>
      <c r="P16" s="70">
        <f t="shared" si="5"/>
        <v>535103.50000000186</v>
      </c>
      <c r="Q16" s="164">
        <f>Q15+N16+1</f>
        <v>218883.45000000019</v>
      </c>
      <c r="R16" s="71">
        <f t="shared" si="3"/>
        <v>131.83510226907663</v>
      </c>
      <c r="S16" s="72">
        <f>SUM($Q$7:$Q16)/T16</f>
        <v>221596.35000000018</v>
      </c>
      <c r="T16" s="73">
        <v>10</v>
      </c>
      <c r="U16" s="218"/>
      <c r="V16" s="133"/>
      <c r="W16" s="105">
        <v>-2673323</v>
      </c>
      <c r="X16" s="167"/>
      <c r="Y16" s="156">
        <f>Y15-K16-L16-1</f>
        <v>-2673323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44926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53263.722727272914</v>
      </c>
      <c r="P17" s="7">
        <f t="shared" si="5"/>
        <v>585900.95000000205</v>
      </c>
      <c r="Q17" s="164">
        <f t="shared" si="6"/>
        <v>218883.45000000019</v>
      </c>
      <c r="R17" s="29">
        <f t="shared" si="3"/>
        <v>131.68837543119173</v>
      </c>
      <c r="S17" s="5">
        <f>SUM($Q$7:$Q17)/T17</f>
        <v>221349.72272727292</v>
      </c>
      <c r="T17" s="18">
        <v>11</v>
      </c>
      <c r="U17" s="27"/>
      <c r="V17" s="136"/>
      <c r="W17" s="105">
        <v>-2673323</v>
      </c>
      <c r="X17" s="167"/>
      <c r="Y17" s="156">
        <f t="shared" si="7"/>
        <v>-2673323</v>
      </c>
      <c r="Z17" s="217"/>
      <c r="AA17" s="92"/>
      <c r="AC17" s="92"/>
    </row>
    <row r="18" spans="2:31">
      <c r="B18" s="116">
        <v>44927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53058.200000000186</v>
      </c>
      <c r="P18" s="7">
        <f t="shared" si="5"/>
        <v>636698.40000000224</v>
      </c>
      <c r="Q18" s="164">
        <f t="shared" si="6"/>
        <v>218883.45000000019</v>
      </c>
      <c r="R18" s="29">
        <f t="shared" si="3"/>
        <v>131.56610306628761</v>
      </c>
      <c r="S18" s="5">
        <f>SUM($Q$7:$Q18)/T18</f>
        <v>221144.20000000019</v>
      </c>
      <c r="T18" s="18">
        <v>12</v>
      </c>
      <c r="U18" s="27"/>
      <c r="V18" s="136"/>
      <c r="W18" s="105">
        <v>-2673323</v>
      </c>
      <c r="X18" s="167"/>
      <c r="Y18" s="156">
        <f t="shared" si="7"/>
        <v>-2673323</v>
      </c>
      <c r="Z18" s="217"/>
      <c r="AA18" s="92"/>
    </row>
    <row r="19" spans="2:31">
      <c r="B19" s="116">
        <v>44928</v>
      </c>
      <c r="C19" s="14" t="str">
        <f t="shared" si="0"/>
        <v/>
      </c>
      <c r="D19" s="87"/>
      <c r="E19" s="87">
        <v>295</v>
      </c>
      <c r="F19" s="23">
        <v>-3916460</v>
      </c>
      <c r="G19" s="26">
        <f>D19+E19+F19-E16-F16</f>
        <v>-137897</v>
      </c>
      <c r="H19" s="132">
        <v>300</v>
      </c>
      <c r="I19" s="63">
        <v>117300</v>
      </c>
      <c r="J19" s="63">
        <v>800</v>
      </c>
      <c r="K19" s="170">
        <f t="shared" si="9"/>
        <v>118400</v>
      </c>
      <c r="L19" s="171">
        <v>-37</v>
      </c>
      <c r="M19" s="153"/>
      <c r="N19" s="149">
        <f t="shared" si="8"/>
        <v>-19534</v>
      </c>
      <c r="O19" s="67">
        <f t="shared" si="2"/>
        <v>51381.680769230952</v>
      </c>
      <c r="P19" s="7">
        <f t="shared" si="5"/>
        <v>667961.85000000242</v>
      </c>
      <c r="Q19" s="164">
        <f>Q18+N19</f>
        <v>199349.45000000019</v>
      </c>
      <c r="R19" s="29">
        <f t="shared" si="3"/>
        <v>130.56868553551811</v>
      </c>
      <c r="S19" s="5">
        <f>SUM($Q$7:$Q19)/T19</f>
        <v>219467.68076923097</v>
      </c>
      <c r="T19" s="18">
        <v>13</v>
      </c>
      <c r="U19" s="138">
        <f>B19</f>
        <v>44928</v>
      </c>
      <c r="V19" s="131">
        <v>2102.8000000000002</v>
      </c>
      <c r="W19" s="105">
        <v>-2791686</v>
      </c>
      <c r="X19" s="167">
        <f>AVERAGE(W20:W27)</f>
        <v>-2947638.125</v>
      </c>
      <c r="Y19" s="156">
        <f>Y18-K19-L19</f>
        <v>-2791686</v>
      </c>
      <c r="Z19" s="217">
        <f>AVERAGE(Y19:Y27)</f>
        <v>-2930310.111111111</v>
      </c>
      <c r="AA19" s="92"/>
      <c r="AD19" s="309"/>
    </row>
    <row r="20" spans="2:31">
      <c r="B20" s="116">
        <v>44929</v>
      </c>
      <c r="C20" s="14"/>
      <c r="D20" s="87"/>
      <c r="E20" s="87">
        <v>163</v>
      </c>
      <c r="F20" s="23">
        <v>-4016173</v>
      </c>
      <c r="G20" s="26">
        <f>D20+E20+F20-E19-F19</f>
        <v>-99845</v>
      </c>
      <c r="H20" s="132">
        <v>300</v>
      </c>
      <c r="I20" s="63">
        <v>81000</v>
      </c>
      <c r="J20" s="63">
        <v>800</v>
      </c>
      <c r="K20" s="170">
        <f t="shared" si="9"/>
        <v>82100</v>
      </c>
      <c r="L20" s="171">
        <v>-37</v>
      </c>
      <c r="M20" s="153"/>
      <c r="N20" s="149">
        <f t="shared" si="8"/>
        <v>-17782</v>
      </c>
      <c r="O20" s="67">
        <f t="shared" si="2"/>
        <v>48674.450000000186</v>
      </c>
      <c r="P20" s="7">
        <f t="shared" si="5"/>
        <v>681442.30000000261</v>
      </c>
      <c r="Q20" s="164">
        <f>Q19+N20-1</f>
        <v>181566.45000000019</v>
      </c>
      <c r="R20" s="29">
        <f t="shared" si="3"/>
        <v>128.95806313434801</v>
      </c>
      <c r="S20" s="5">
        <f>SUM($Q$7:$Q20)/T20</f>
        <v>216760.45000000019</v>
      </c>
      <c r="T20" s="18">
        <v>14</v>
      </c>
      <c r="U20" s="138">
        <f>B19+8</f>
        <v>44936</v>
      </c>
      <c r="V20" s="131"/>
      <c r="W20" s="105">
        <v>-2873748</v>
      </c>
      <c r="X20" s="167"/>
      <c r="Y20" s="156">
        <f>Y19-K20-L20+1</f>
        <v>-2873748</v>
      </c>
      <c r="Z20" s="217"/>
      <c r="AA20" s="92"/>
      <c r="AB20" s="92"/>
    </row>
    <row r="21" spans="2:31">
      <c r="B21" s="116">
        <v>44930</v>
      </c>
      <c r="C21" s="14" t="str">
        <f t="shared" si="0"/>
        <v/>
      </c>
      <c r="D21" s="87">
        <f>-2406+1122</f>
        <v>-1284</v>
      </c>
      <c r="E21" s="87">
        <v>55</v>
      </c>
      <c r="F21" s="23">
        <v>-4060535</v>
      </c>
      <c r="G21" s="26">
        <f>D21+E21+F21-E20-F20</f>
        <v>-45754</v>
      </c>
      <c r="H21" s="132">
        <v>400</v>
      </c>
      <c r="I21" s="63">
        <v>44500</v>
      </c>
      <c r="J21" s="63">
        <v>800</v>
      </c>
      <c r="K21" s="170">
        <f t="shared" si="9"/>
        <v>45700</v>
      </c>
      <c r="L21" s="171">
        <v>49</v>
      </c>
      <c r="M21" s="153"/>
      <c r="N21" s="149">
        <f>L21+K21+G21+M21</f>
        <v>-5</v>
      </c>
      <c r="O21" s="67">
        <f t="shared" si="2"/>
        <v>46327.916666666853</v>
      </c>
      <c r="P21" s="7">
        <f t="shared" si="5"/>
        <v>694918.75000000279</v>
      </c>
      <c r="Q21" s="164">
        <f>Q20+N21+1</f>
        <v>181562.45000000019</v>
      </c>
      <c r="R21" s="29">
        <f t="shared" si="3"/>
        <v>127.56143680417576</v>
      </c>
      <c r="S21" s="5">
        <f>SUM($Q$7:$Q21)/T21-1</f>
        <v>214412.91666666686</v>
      </c>
      <c r="T21" s="18">
        <v>15</v>
      </c>
      <c r="U21" s="4"/>
      <c r="V21" s="131"/>
      <c r="W21" s="105">
        <v>-2919498</v>
      </c>
      <c r="X21" s="167"/>
      <c r="Y21" s="156">
        <f>Y20-K21-L21-1</f>
        <v>-2919498</v>
      </c>
      <c r="Z21" s="217"/>
      <c r="AA21" s="92"/>
    </row>
    <row r="22" spans="2:31">
      <c r="B22" s="116">
        <v>44931</v>
      </c>
      <c r="C22" s="14" t="str">
        <f t="shared" si="0"/>
        <v/>
      </c>
      <c r="D22" s="87"/>
      <c r="E22" s="87">
        <v>4</v>
      </c>
      <c r="F22" s="23">
        <v>-4086778</v>
      </c>
      <c r="G22" s="26">
        <f>D22+E22+F22-E21-F21</f>
        <v>-26294</v>
      </c>
      <c r="H22" s="132">
        <v>300</v>
      </c>
      <c r="I22" s="63">
        <v>25000</v>
      </c>
      <c r="J22" s="63">
        <v>800</v>
      </c>
      <c r="K22" s="170">
        <f t="shared" si="9"/>
        <v>26100</v>
      </c>
      <c r="L22" s="171">
        <v>-11</v>
      </c>
      <c r="M22" s="153"/>
      <c r="N22" s="149">
        <f>L22+K22+G22+M22</f>
        <v>-205</v>
      </c>
      <c r="O22" s="67">
        <f t="shared" si="2"/>
        <v>44261.950000000186</v>
      </c>
      <c r="P22" s="7">
        <f t="shared" si="5"/>
        <v>708191.20000000298</v>
      </c>
      <c r="Q22" s="164">
        <f>Q21+N22+1</f>
        <v>181358.45000000019</v>
      </c>
      <c r="R22" s="29">
        <f t="shared" si="3"/>
        <v>126.33410873005498</v>
      </c>
      <c r="S22" s="5">
        <f>SUM($Q$7:$Q22)/T22+2</f>
        <v>212349.95000000019</v>
      </c>
      <c r="T22" s="18">
        <v>16</v>
      </c>
      <c r="U22" s="4"/>
      <c r="V22" s="131"/>
      <c r="W22" s="105">
        <v>-2945587</v>
      </c>
      <c r="X22" s="167"/>
      <c r="Y22" s="156">
        <f>Y21-K22-L22</f>
        <v>-2945587</v>
      </c>
      <c r="Z22" s="217"/>
      <c r="AA22" s="92"/>
    </row>
    <row r="23" spans="2:31">
      <c r="B23" s="116">
        <v>44932</v>
      </c>
      <c r="C23" s="14"/>
      <c r="D23" s="87"/>
      <c r="E23" s="87">
        <v>0</v>
      </c>
      <c r="F23" s="23">
        <v>-4085320</v>
      </c>
      <c r="G23" s="26">
        <f>D23+E23+F23-E22-F22</f>
        <v>1454</v>
      </c>
      <c r="H23" s="132">
        <v>300</v>
      </c>
      <c r="I23" s="63">
        <v>18500</v>
      </c>
      <c r="J23" s="63">
        <v>700</v>
      </c>
      <c r="K23" s="170">
        <f t="shared" si="9"/>
        <v>19500</v>
      </c>
      <c r="L23" s="171">
        <v>-26</v>
      </c>
      <c r="M23" s="153"/>
      <c r="N23" s="149">
        <f>L23+K23+G23+M23</f>
        <v>20928</v>
      </c>
      <c r="O23" s="67">
        <f t="shared" si="2"/>
        <v>43670.038235294305</v>
      </c>
      <c r="P23" s="7">
        <f t="shared" si="5"/>
        <v>742390.65000000317</v>
      </c>
      <c r="Q23" s="164">
        <f>Q22+N23-1</f>
        <v>202285.45000000019</v>
      </c>
      <c r="R23" s="29">
        <f t="shared" si="3"/>
        <v>125.98077069791316</v>
      </c>
      <c r="S23" s="5">
        <f>SUM($Q$7:$Q23)/T23</f>
        <v>211756.03823529431</v>
      </c>
      <c r="T23" s="18">
        <v>17</v>
      </c>
      <c r="U23" s="27"/>
      <c r="V23" s="135"/>
      <c r="W23" s="105">
        <v>-2965061</v>
      </c>
      <c r="X23" s="167"/>
      <c r="Y23" s="156">
        <f>Y22-K23-L23</f>
        <v>-2965061</v>
      </c>
      <c r="Z23" s="217"/>
      <c r="AA23" s="92"/>
    </row>
    <row r="24" spans="2:31">
      <c r="B24" s="116">
        <v>44933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43143.894444444632</v>
      </c>
      <c r="P24" s="7">
        <f t="shared" si="5"/>
        <v>776590.10000000335</v>
      </c>
      <c r="Q24" s="164">
        <f t="shared" ref="Q24:Q25" si="10">Q23+N24</f>
        <v>202285.45000000019</v>
      </c>
      <c r="R24" s="29">
        <f t="shared" si="3"/>
        <v>125.66775010675764</v>
      </c>
      <c r="S24" s="5">
        <f>SUM($Q$7:$Q24)/T24</f>
        <v>211229.89444444462</v>
      </c>
      <c r="T24" s="18">
        <v>18</v>
      </c>
      <c r="U24" s="4"/>
      <c r="V24" s="135"/>
      <c r="W24" s="105">
        <v>-2965061</v>
      </c>
      <c r="X24" s="167"/>
      <c r="Y24" s="156">
        <f t="shared" si="7"/>
        <v>-2965061</v>
      </c>
      <c r="Z24" s="217"/>
      <c r="AA24" s="92"/>
      <c r="AD24" s="1"/>
      <c r="AE24" s="1"/>
    </row>
    <row r="25" spans="2:31">
      <c r="B25" s="116">
        <v>44934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42673.134210526499</v>
      </c>
      <c r="P25" s="7">
        <f t="shared" si="5"/>
        <v>810789.55000000354</v>
      </c>
      <c r="Q25" s="164">
        <f t="shared" si="10"/>
        <v>202285.45000000019</v>
      </c>
      <c r="R25" s="29">
        <f t="shared" si="3"/>
        <v>125.38767905151322</v>
      </c>
      <c r="S25" s="5">
        <f>SUM($Q$7:$Q25)/T25</f>
        <v>210759.13421052651</v>
      </c>
      <c r="T25" s="18">
        <v>19</v>
      </c>
      <c r="U25" s="4"/>
      <c r="V25" s="131"/>
      <c r="W25" s="105">
        <v>-2965061</v>
      </c>
      <c r="X25" s="167"/>
      <c r="Y25" s="156">
        <f t="shared" si="7"/>
        <v>-2965061</v>
      </c>
      <c r="Z25" s="217"/>
      <c r="AA25" s="92"/>
      <c r="AD25" s="1"/>
      <c r="AE25" s="1"/>
    </row>
    <row r="26" spans="2:31">
      <c r="B26" s="116">
        <v>44935</v>
      </c>
      <c r="C26" s="14"/>
      <c r="D26" s="87"/>
      <c r="E26" s="87">
        <v>0</v>
      </c>
      <c r="F26" s="23">
        <v>-4108780</v>
      </c>
      <c r="G26" s="26">
        <f>D26+E26+F26-E23-F23</f>
        <v>-23460</v>
      </c>
      <c r="H26" s="132">
        <v>-14500</v>
      </c>
      <c r="I26" s="63">
        <v>16300</v>
      </c>
      <c r="J26" s="63">
        <v>1300</v>
      </c>
      <c r="K26" s="170">
        <f t="shared" si="9"/>
        <v>3100</v>
      </c>
      <c r="L26" s="171">
        <v>50</v>
      </c>
      <c r="M26" s="153"/>
      <c r="N26" s="149">
        <f t="shared" si="8"/>
        <v>-20310</v>
      </c>
      <c r="O26" s="67">
        <f t="shared" si="2"/>
        <v>41233.950000000186</v>
      </c>
      <c r="P26" s="7">
        <f t="shared" si="5"/>
        <v>824679.00000000373</v>
      </c>
      <c r="Q26" s="164">
        <f>Q25+N26</f>
        <v>181975.45000000019</v>
      </c>
      <c r="R26" s="29">
        <f t="shared" si="3"/>
        <v>124.53027021881667</v>
      </c>
      <c r="S26" s="5">
        <f>SUM($Q$7:$Q26)/T26-2</f>
        <v>209317.95000000019</v>
      </c>
      <c r="T26" s="18">
        <v>20</v>
      </c>
      <c r="U26" s="138">
        <f>B26</f>
        <v>44935</v>
      </c>
      <c r="V26" s="131">
        <v>1991.2</v>
      </c>
      <c r="W26" s="105">
        <v>-2968211</v>
      </c>
      <c r="X26" s="167">
        <f>AVERAGE(W26:W34)</f>
        <v>-2977318.111111111</v>
      </c>
      <c r="Y26" s="156">
        <f>Y25-K26-L26</f>
        <v>-2968211</v>
      </c>
      <c r="Z26" s="217">
        <f>AVERAGE(Y26:Y34)</f>
        <v>-2977318.111111111</v>
      </c>
      <c r="AC26" s="92"/>
      <c r="AD26" s="1"/>
      <c r="AE26" s="1"/>
    </row>
    <row r="27" spans="2:31">
      <c r="B27" s="116">
        <v>44936</v>
      </c>
      <c r="C27" s="14" t="str">
        <f t="shared" si="0"/>
        <v/>
      </c>
      <c r="D27" s="87"/>
      <c r="E27" s="87">
        <v>12</v>
      </c>
      <c r="F27" s="23">
        <v>-4130057</v>
      </c>
      <c r="G27" s="26">
        <f>D27+E27+F27-E26-F26</f>
        <v>-21265</v>
      </c>
      <c r="H27" s="132">
        <v>300</v>
      </c>
      <c r="I27" s="63">
        <v>9100</v>
      </c>
      <c r="J27" s="63">
        <v>1300</v>
      </c>
      <c r="K27" s="170">
        <f t="shared" si="9"/>
        <v>10700</v>
      </c>
      <c r="L27" s="171">
        <v>-34</v>
      </c>
      <c r="M27" s="153"/>
      <c r="N27" s="149">
        <f>L27+K27+G27+M27</f>
        <v>-10599</v>
      </c>
      <c r="O27" s="67">
        <f t="shared" si="2"/>
        <v>39427.164285714469</v>
      </c>
      <c r="P27" s="7">
        <f t="shared" si="5"/>
        <v>827970.45000000391</v>
      </c>
      <c r="Q27" s="164">
        <f>Q26+N27+1</f>
        <v>171377.45000000019</v>
      </c>
      <c r="R27" s="29">
        <f t="shared" si="3"/>
        <v>123.45654265418564</v>
      </c>
      <c r="S27" s="5">
        <f>SUM($Q$7:$Q27)/T27</f>
        <v>207513.16428571448</v>
      </c>
      <c r="T27" s="18">
        <v>21</v>
      </c>
      <c r="U27" s="138">
        <f>B28+6</f>
        <v>44943</v>
      </c>
      <c r="V27" s="159"/>
      <c r="W27" s="105">
        <v>-2978878</v>
      </c>
      <c r="X27" s="167"/>
      <c r="Y27" s="156">
        <f>Y26-K27-L27-1</f>
        <v>-2978878</v>
      </c>
      <c r="Z27" s="217"/>
      <c r="AA27" s="92"/>
      <c r="AD27" s="1"/>
      <c r="AE27" s="1"/>
    </row>
    <row r="28" spans="2:31">
      <c r="B28" s="116">
        <v>44937</v>
      </c>
      <c r="C28" s="14" t="str">
        <f t="shared" si="0"/>
        <v/>
      </c>
      <c r="D28" s="87">
        <f>-1122+955</f>
        <v>-167</v>
      </c>
      <c r="E28" s="87">
        <v>25</v>
      </c>
      <c r="F28" s="23">
        <v>-4118158</v>
      </c>
      <c r="G28" s="26">
        <f>D28+E28+F28-E27-F27</f>
        <v>11745</v>
      </c>
      <c r="H28" s="132">
        <v>300</v>
      </c>
      <c r="I28" s="63">
        <v>-6500</v>
      </c>
      <c r="J28" s="63">
        <v>1300</v>
      </c>
      <c r="K28" s="170">
        <f t="shared" si="9"/>
        <v>-4900</v>
      </c>
      <c r="L28" s="171">
        <v>-28</v>
      </c>
      <c r="M28" s="153"/>
      <c r="N28" s="149">
        <f>L28+K28+G28+M28</f>
        <v>6817</v>
      </c>
      <c r="O28" s="67">
        <f t="shared" si="2"/>
        <v>38094.450000000186</v>
      </c>
      <c r="P28" s="7">
        <f t="shared" si="5"/>
        <v>838077.9000000041</v>
      </c>
      <c r="Q28" s="164">
        <f>Q27+N28-1</f>
        <v>178193.45000000019</v>
      </c>
      <c r="R28" s="29">
        <f t="shared" si="3"/>
        <v>122.66307128493759</v>
      </c>
      <c r="S28" s="5">
        <f>SUM($Q$7:$Q28)/T28-1</f>
        <v>206179.45000000019</v>
      </c>
      <c r="T28" s="18">
        <v>22</v>
      </c>
      <c r="U28" s="4"/>
      <c r="V28" s="131"/>
      <c r="W28" s="105">
        <v>-2973949</v>
      </c>
      <c r="X28" s="167"/>
      <c r="Y28" s="156">
        <f>Y27-K28-L28+1</f>
        <v>-2973949</v>
      </c>
      <c r="Z28" s="217"/>
      <c r="AA28" s="92"/>
      <c r="AD28" s="1"/>
      <c r="AE28" s="1"/>
    </row>
    <row r="29" spans="2:31">
      <c r="B29" s="116">
        <v>44938</v>
      </c>
      <c r="C29" s="14" t="str">
        <f t="shared" si="0"/>
        <v/>
      </c>
      <c r="D29" s="87"/>
      <c r="E29" s="87">
        <v>0</v>
      </c>
      <c r="F29" s="23">
        <v>-4118388</v>
      </c>
      <c r="G29" s="26">
        <f>D29+E29+F29-E28-F28</f>
        <v>-255</v>
      </c>
      <c r="H29" s="132">
        <v>300</v>
      </c>
      <c r="I29" s="63">
        <v>-11300</v>
      </c>
      <c r="J29" s="63">
        <v>1200</v>
      </c>
      <c r="K29" s="170">
        <f t="shared" si="9"/>
        <v>-9800</v>
      </c>
      <c r="L29" s="171">
        <v>15</v>
      </c>
      <c r="M29" s="153"/>
      <c r="N29" s="149">
        <f>L29+K29+G29+M29</f>
        <v>-10040</v>
      </c>
      <c r="O29" s="67">
        <f t="shared" si="2"/>
        <v>36441.058695652362</v>
      </c>
      <c r="P29" s="7">
        <f t="shared" si="5"/>
        <v>838144.35000000428</v>
      </c>
      <c r="Q29" s="164">
        <f>Q28+N29-1</f>
        <v>168152.45000000019</v>
      </c>
      <c r="R29" s="29">
        <f t="shared" si="3"/>
        <v>121.68000826698973</v>
      </c>
      <c r="S29" s="5">
        <f>SUM($Q$7:$Q29)/T29</f>
        <v>204527.05869565235</v>
      </c>
      <c r="T29" s="18">
        <v>23</v>
      </c>
      <c r="U29" s="4"/>
      <c r="V29" s="131"/>
      <c r="W29" s="105">
        <v>-2964164</v>
      </c>
      <c r="X29" s="167"/>
      <c r="Y29" s="156">
        <f>Y28-K29-L29</f>
        <v>-2964164</v>
      </c>
      <c r="Z29" s="217"/>
      <c r="AA29" s="92"/>
      <c r="AD29" s="1"/>
      <c r="AE29" s="1"/>
    </row>
    <row r="30" spans="2:31">
      <c r="B30" s="116">
        <v>44939</v>
      </c>
      <c r="C30" s="14" t="str">
        <f t="shared" si="0"/>
        <v/>
      </c>
      <c r="D30" s="87"/>
      <c r="E30" s="87">
        <v>0</v>
      </c>
      <c r="F30" s="23">
        <v>-4126243</v>
      </c>
      <c r="G30" s="26">
        <f>D30+E30+F30-E29-F29</f>
        <v>-7855</v>
      </c>
      <c r="H30" s="132">
        <v>300</v>
      </c>
      <c r="I30" s="25">
        <v>10700</v>
      </c>
      <c r="J30" s="25">
        <v>1200</v>
      </c>
      <c r="K30" s="170">
        <f t="shared" si="9"/>
        <v>12200</v>
      </c>
      <c r="L30" s="171">
        <v>3</v>
      </c>
      <c r="M30" s="153"/>
      <c r="N30" s="149">
        <f>L30+K30+G30+M30</f>
        <v>4348</v>
      </c>
      <c r="O30" s="67">
        <f t="shared" si="2"/>
        <v>35106.658333333522</v>
      </c>
      <c r="P30" s="7">
        <f t="shared" si="5"/>
        <v>842559.80000000447</v>
      </c>
      <c r="Q30" s="164">
        <f>Q29+N30+1</f>
        <v>172501.45000000019</v>
      </c>
      <c r="R30" s="29">
        <f t="shared" si="3"/>
        <v>120.88910339548417</v>
      </c>
      <c r="S30" s="5">
        <f>SUM($Q$7:$Q30)/T30+5</f>
        <v>203197.65833333353</v>
      </c>
      <c r="T30" s="18">
        <v>24</v>
      </c>
      <c r="U30" s="4"/>
      <c r="V30" s="131"/>
      <c r="W30" s="105">
        <v>-2976367</v>
      </c>
      <c r="X30" s="167"/>
      <c r="Y30" s="156">
        <f>Y29-K30-L30</f>
        <v>-2976367</v>
      </c>
      <c r="Z30" s="217"/>
      <c r="AA30" s="92"/>
      <c r="AD30" s="1"/>
      <c r="AE30" s="1"/>
    </row>
    <row r="31" spans="2:31">
      <c r="B31" s="116">
        <v>44940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33879.010000000184</v>
      </c>
      <c r="P31" s="7">
        <f t="shared" si="5"/>
        <v>846975.25000000466</v>
      </c>
      <c r="Q31" s="164">
        <f t="shared" ref="Q31:Q39" si="11">Q30+N31</f>
        <v>172501.45000000019</v>
      </c>
      <c r="R31" s="29">
        <f t="shared" si="3"/>
        <v>120.15516461811227</v>
      </c>
      <c r="S31" s="5">
        <f>SUM($Q$7:$Q31)/T31-1</f>
        <v>201964.01000000018</v>
      </c>
      <c r="T31" s="18">
        <v>25</v>
      </c>
      <c r="U31" s="4"/>
      <c r="V31" s="137"/>
      <c r="W31" s="105">
        <v>-2976367</v>
      </c>
      <c r="X31" s="167"/>
      <c r="Y31" s="156">
        <f t="shared" si="7"/>
        <v>-2976367</v>
      </c>
      <c r="Z31" s="217"/>
      <c r="AA31" s="92"/>
      <c r="AB31" s="92"/>
      <c r="AD31" s="1"/>
      <c r="AE31" s="1"/>
    </row>
    <row r="32" spans="2:31">
      <c r="B32" s="116">
        <v>44941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32745.796153846339</v>
      </c>
      <c r="P32" s="7">
        <f t="shared" si="5"/>
        <v>851390.70000000484</v>
      </c>
      <c r="Q32" s="164">
        <f t="shared" si="11"/>
        <v>172501.45000000019</v>
      </c>
      <c r="R32" s="29">
        <f t="shared" si="3"/>
        <v>119.48097768633102</v>
      </c>
      <c r="S32" s="5">
        <f>SUM($Q$7:$Q32)/T32-1</f>
        <v>200830.79615384634</v>
      </c>
      <c r="T32" s="18">
        <v>26</v>
      </c>
      <c r="U32" s="27"/>
      <c r="V32" s="137"/>
      <c r="W32" s="105">
        <v>-2976367</v>
      </c>
      <c r="X32" s="167"/>
      <c r="Y32" s="156">
        <f t="shared" si="7"/>
        <v>-2976367</v>
      </c>
      <c r="Z32" s="217"/>
      <c r="AD32" s="1"/>
      <c r="AE32" s="1"/>
    </row>
    <row r="33" spans="2:31">
      <c r="B33" s="116">
        <v>44942</v>
      </c>
      <c r="C33" s="14" t="str">
        <f t="shared" si="0"/>
        <v/>
      </c>
      <c r="D33" s="87"/>
      <c r="E33" s="87">
        <v>0</v>
      </c>
      <c r="F33" s="23">
        <v>-4132474</v>
      </c>
      <c r="G33" s="26">
        <f>D33+E33+F33-E30-F30</f>
        <v>-6231</v>
      </c>
      <c r="H33" s="132">
        <v>2800</v>
      </c>
      <c r="I33" s="25">
        <v>5500</v>
      </c>
      <c r="J33" s="25">
        <v>1000</v>
      </c>
      <c r="K33" s="170">
        <f t="shared" si="9"/>
        <v>9300</v>
      </c>
      <c r="L33" s="171">
        <v>9</v>
      </c>
      <c r="M33" s="153"/>
      <c r="N33" s="149">
        <f t="shared" si="8"/>
        <v>3078</v>
      </c>
      <c r="O33" s="67">
        <f t="shared" si="2"/>
        <v>31810.487037037223</v>
      </c>
      <c r="P33" s="7">
        <f t="shared" si="5"/>
        <v>858883.15000000503</v>
      </c>
      <c r="Q33" s="164">
        <f>Q32+N33-1</f>
        <v>175578.45000000019</v>
      </c>
      <c r="R33" s="29">
        <f t="shared" si="3"/>
        <v>118.92512585047965</v>
      </c>
      <c r="S33" s="5">
        <f>SUM($Q$7:$Q33)/T33</f>
        <v>199896.48703703724</v>
      </c>
      <c r="T33" s="18">
        <v>27</v>
      </c>
      <c r="U33" s="138">
        <f>B33</f>
        <v>44942</v>
      </c>
      <c r="V33" s="131">
        <v>1964.4</v>
      </c>
      <c r="W33" s="105">
        <v>-2985676</v>
      </c>
      <c r="X33" s="167">
        <f>AVERAGE(W33:W41)</f>
        <v>-3004843.888888889</v>
      </c>
      <c r="Y33" s="156">
        <f>Y32-K33-L33</f>
        <v>-2985676</v>
      </c>
      <c r="Z33" s="217">
        <f>AVERAGE(Y33:Y41)</f>
        <v>-3004843.888888889</v>
      </c>
      <c r="AD33" s="1"/>
      <c r="AE33" s="1"/>
    </row>
    <row r="34" spans="2:31">
      <c r="B34" s="116">
        <v>44943</v>
      </c>
      <c r="C34" s="14" t="str">
        <f t="shared" si="0"/>
        <v/>
      </c>
      <c r="D34" s="87"/>
      <c r="E34" s="87">
        <v>0</v>
      </c>
      <c r="F34" s="23">
        <v>-4143021</v>
      </c>
      <c r="G34" s="26">
        <f>D34+E34+F34-E33-F33</f>
        <v>-10547</v>
      </c>
      <c r="H34" s="132">
        <v>300</v>
      </c>
      <c r="I34" s="25">
        <v>8900</v>
      </c>
      <c r="J34" s="25">
        <v>1000</v>
      </c>
      <c r="K34" s="170">
        <f t="shared" si="9"/>
        <v>10200</v>
      </c>
      <c r="L34" s="171">
        <v>8</v>
      </c>
      <c r="M34" s="153"/>
      <c r="N34" s="149">
        <f>L34+K34+G34+M34</f>
        <v>-339</v>
      </c>
      <c r="O34" s="67">
        <f t="shared" si="2"/>
        <v>30929.914285714472</v>
      </c>
      <c r="P34" s="7">
        <f t="shared" si="5"/>
        <v>866037.60000000522</v>
      </c>
      <c r="Q34" s="164">
        <f>Q33+N34+1</f>
        <v>175240.45000000019</v>
      </c>
      <c r="R34" s="29">
        <f t="shared" si="3"/>
        <v>118.4012435810921</v>
      </c>
      <c r="S34" s="5">
        <f>SUM($Q$7:$Q34)/T34</f>
        <v>199015.91428571448</v>
      </c>
      <c r="T34" s="18">
        <v>28</v>
      </c>
      <c r="U34" s="138">
        <f>B33+8</f>
        <v>44950</v>
      </c>
      <c r="V34" s="131"/>
      <c r="W34" s="105">
        <v>-2995884</v>
      </c>
      <c r="X34" s="167"/>
      <c r="Y34" s="156">
        <f>Y33-K34-L34</f>
        <v>-2995884</v>
      </c>
      <c r="Z34" s="217"/>
      <c r="AA34" s="92"/>
      <c r="AD34" s="1"/>
      <c r="AE34" s="1"/>
    </row>
    <row r="35" spans="2:31">
      <c r="B35" s="116">
        <v>44944</v>
      </c>
      <c r="C35" s="14" t="str">
        <f t="shared" si="0"/>
        <v/>
      </c>
      <c r="D35" s="87">
        <f>-955+849</f>
        <v>-106</v>
      </c>
      <c r="E35" s="87">
        <v>0</v>
      </c>
      <c r="F35" s="23">
        <v>-4112612</v>
      </c>
      <c r="G35" s="26">
        <f>D35+E35+F35-E34-F34</f>
        <v>30303</v>
      </c>
      <c r="H35" s="132">
        <v>-19700</v>
      </c>
      <c r="I35" s="25">
        <v>18500</v>
      </c>
      <c r="J35" s="25">
        <v>900</v>
      </c>
      <c r="K35" s="170">
        <f t="shared" si="9"/>
        <v>-300</v>
      </c>
      <c r="L35" s="171">
        <v>32</v>
      </c>
      <c r="M35" s="153"/>
      <c r="N35" s="149">
        <f t="shared" si="8"/>
        <v>30035</v>
      </c>
      <c r="O35" s="67">
        <f t="shared" si="2"/>
        <v>31145.794827586393</v>
      </c>
      <c r="P35" s="7">
        <f t="shared" si="5"/>
        <v>903228.0500000054</v>
      </c>
      <c r="Q35" s="164">
        <f>Q34+N35+1</f>
        <v>205276.45000000019</v>
      </c>
      <c r="R35" s="29">
        <f t="shared" si="3"/>
        <v>118.53027309090965</v>
      </c>
      <c r="S35" s="5">
        <f>SUM($Q$7:$Q35)/T35+1</f>
        <v>199232.79482758639</v>
      </c>
      <c r="T35" s="18">
        <v>29</v>
      </c>
      <c r="U35" s="4"/>
      <c r="V35" s="131"/>
      <c r="W35" s="105">
        <v>-2995617</v>
      </c>
      <c r="X35" s="167"/>
      <c r="Y35" s="156">
        <f>Y34-K35-L35-1</f>
        <v>-2995617</v>
      </c>
      <c r="Z35" s="217"/>
      <c r="AA35" s="92"/>
      <c r="AD35" s="1"/>
      <c r="AE35" s="1"/>
    </row>
    <row r="36" spans="2:31">
      <c r="B36" s="116">
        <v>44945</v>
      </c>
      <c r="C36" s="14" t="str">
        <f t="shared" si="0"/>
        <v/>
      </c>
      <c r="D36" s="87"/>
      <c r="E36" s="87">
        <v>0</v>
      </c>
      <c r="F36" s="23">
        <v>-4152189</v>
      </c>
      <c r="G36" s="26">
        <f>D36+E36+F36-E35-F35</f>
        <v>-39577</v>
      </c>
      <c r="H36" s="132">
        <v>-10900</v>
      </c>
      <c r="I36" s="25">
        <v>17600</v>
      </c>
      <c r="J36" s="25">
        <v>900</v>
      </c>
      <c r="K36" s="170">
        <f t="shared" si="9"/>
        <v>7600</v>
      </c>
      <c r="L36" s="171">
        <v>-45</v>
      </c>
      <c r="M36" s="153"/>
      <c r="N36" s="149">
        <f t="shared" si="8"/>
        <v>-32022</v>
      </c>
      <c r="O36" s="67">
        <f t="shared" si="2"/>
        <v>30279.783333333518</v>
      </c>
      <c r="P36" s="7">
        <f t="shared" si="5"/>
        <v>908393.50000000559</v>
      </c>
      <c r="Q36" s="164">
        <f>Q35+N36-3</f>
        <v>173251.45000000019</v>
      </c>
      <c r="R36" s="29">
        <f t="shared" si="3"/>
        <v>118.01445886827786</v>
      </c>
      <c r="S36" s="5">
        <f>SUM($Q$7:$Q36)/T36</f>
        <v>198365.78333333353</v>
      </c>
      <c r="T36" s="18">
        <v>30</v>
      </c>
      <c r="U36" s="4"/>
      <c r="V36" s="136"/>
      <c r="W36" s="105">
        <v>-3003169</v>
      </c>
      <c r="X36" s="167"/>
      <c r="Y36" s="156">
        <f>Y35-K36-L36+3</f>
        <v>-3003169</v>
      </c>
      <c r="Z36" s="217"/>
      <c r="AD36" s="1"/>
      <c r="AE36" s="1"/>
    </row>
    <row r="37" spans="2:31">
      <c r="B37" s="116">
        <v>44946</v>
      </c>
      <c r="C37" s="14"/>
      <c r="D37" s="87"/>
      <c r="E37" s="87">
        <v>0</v>
      </c>
      <c r="F37" s="23">
        <v>-4161261</v>
      </c>
      <c r="G37" s="26">
        <f>D37+E37+F37-E36-F36</f>
        <v>-9072</v>
      </c>
      <c r="H37" s="132">
        <v>-200</v>
      </c>
      <c r="I37" s="25">
        <v>10300</v>
      </c>
      <c r="J37" s="25">
        <v>900</v>
      </c>
      <c r="K37" s="170">
        <f t="shared" si="9"/>
        <v>11000</v>
      </c>
      <c r="L37" s="171">
        <v>-39</v>
      </c>
      <c r="M37" s="153"/>
      <c r="N37" s="149">
        <f t="shared" si="8"/>
        <v>1889</v>
      </c>
      <c r="O37" s="67">
        <f t="shared" si="2"/>
        <v>29530.51451612922</v>
      </c>
      <c r="P37" s="7">
        <f t="shared" si="5"/>
        <v>915445.95000000577</v>
      </c>
      <c r="Q37" s="164">
        <f>Q36+N37-2</f>
        <v>175138.45000000019</v>
      </c>
      <c r="R37" s="29">
        <f t="shared" si="3"/>
        <v>117.56928864755496</v>
      </c>
      <c r="S37" s="5">
        <f>SUM($Q$7:$Q37)/T37+1</f>
        <v>197617.51451612922</v>
      </c>
      <c r="T37" s="18">
        <v>31</v>
      </c>
      <c r="U37" s="27"/>
      <c r="V37" s="137"/>
      <c r="W37" s="105">
        <v>-3014128</v>
      </c>
      <c r="X37" s="167"/>
      <c r="Y37" s="156">
        <f>Y36-K37-L37+2</f>
        <v>-3014128</v>
      </c>
      <c r="Z37" s="217"/>
      <c r="AA37" s="92"/>
      <c r="AD37" s="1"/>
      <c r="AE37" s="1"/>
    </row>
    <row r="38" spans="2:31">
      <c r="B38" s="116">
        <v>44947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28828.075000000186</v>
      </c>
      <c r="P38" s="7">
        <f t="shared" si="5"/>
        <v>922498.40000000596</v>
      </c>
      <c r="Q38" s="164">
        <f t="shared" si="11"/>
        <v>175138.45000000019</v>
      </c>
      <c r="R38" s="29">
        <f t="shared" si="3"/>
        <v>117.15078888188199</v>
      </c>
      <c r="S38" s="5">
        <f>SUM($Q$7:$Q38)/T38</f>
        <v>196914.07500000019</v>
      </c>
      <c r="T38" s="18">
        <v>32</v>
      </c>
      <c r="U38" s="27"/>
      <c r="V38" s="137"/>
      <c r="W38" s="105">
        <v>-3014128</v>
      </c>
      <c r="X38" s="167"/>
      <c r="Y38" s="156">
        <f t="shared" si="7"/>
        <v>-3014128</v>
      </c>
      <c r="Z38" s="217"/>
      <c r="AD38" s="1"/>
      <c r="AE38" s="1"/>
    </row>
    <row r="39" spans="2:31">
      <c r="B39" s="116">
        <v>44948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28168.207575757762</v>
      </c>
      <c r="P39" s="7">
        <f t="shared" si="5"/>
        <v>929550.85000000615</v>
      </c>
      <c r="Q39" s="164">
        <f t="shared" si="11"/>
        <v>175138.45000000019</v>
      </c>
      <c r="R39" s="29">
        <f t="shared" si="3"/>
        <v>116.75940148243026</v>
      </c>
      <c r="S39" s="5">
        <f>SUM($Q$7:$Q39)/T39+2</f>
        <v>196256.20757575775</v>
      </c>
      <c r="T39" s="18">
        <v>33</v>
      </c>
      <c r="U39" s="27"/>
      <c r="V39" s="137"/>
      <c r="W39" s="105">
        <v>-3014128</v>
      </c>
      <c r="X39" s="167"/>
      <c r="Y39" s="156">
        <f t="shared" si="7"/>
        <v>-3014128</v>
      </c>
      <c r="Z39" s="217"/>
      <c r="AD39" s="1"/>
      <c r="AE39" s="1"/>
    </row>
    <row r="40" spans="2:31">
      <c r="B40" s="116">
        <v>44949</v>
      </c>
      <c r="C40" s="14"/>
      <c r="D40" s="87"/>
      <c r="E40" s="87">
        <v>0</v>
      </c>
      <c r="F40" s="23">
        <v>-4153891</v>
      </c>
      <c r="G40" s="26">
        <f>D40+E40+F40-E37-F37</f>
        <v>7370</v>
      </c>
      <c r="H40" s="132">
        <v>400</v>
      </c>
      <c r="I40" s="25">
        <v>-7400</v>
      </c>
      <c r="J40" s="25">
        <v>500</v>
      </c>
      <c r="K40" s="170">
        <f t="shared" si="9"/>
        <v>-6500</v>
      </c>
      <c r="L40" s="171">
        <v>-32</v>
      </c>
      <c r="M40" s="153"/>
      <c r="N40" s="149">
        <f t="shared" si="8"/>
        <v>838</v>
      </c>
      <c r="O40" s="67">
        <f t="shared" si="2"/>
        <v>27571.744117647246</v>
      </c>
      <c r="P40" s="7">
        <f t="shared" si="5"/>
        <v>937439.30000000633</v>
      </c>
      <c r="Q40" s="164">
        <f>Q39+N40-2</f>
        <v>175974.45000000019</v>
      </c>
      <c r="R40" s="29">
        <f t="shared" si="3"/>
        <v>116.40395042873722</v>
      </c>
      <c r="S40" s="5">
        <f>SUM($Q$7:$Q40)/T40+1</f>
        <v>195658.74411764723</v>
      </c>
      <c r="T40" s="18">
        <v>34</v>
      </c>
      <c r="U40" s="138">
        <f>B40</f>
        <v>44949</v>
      </c>
      <c r="V40" s="131">
        <v>1932.7</v>
      </c>
      <c r="W40" s="105">
        <v>-3007595</v>
      </c>
      <c r="X40" s="167">
        <f>AVERAGE(W40:W48)</f>
        <v>-3009298.777777778</v>
      </c>
      <c r="Y40" s="156">
        <f>Y39-K40-L40+1</f>
        <v>-3007595</v>
      </c>
      <c r="Z40" s="217">
        <f>AVERAGE(Y40:Y48)</f>
        <v>-3009298.777777778</v>
      </c>
      <c r="AD40" s="1"/>
      <c r="AE40" s="1"/>
    </row>
    <row r="41" spans="2:31">
      <c r="B41" s="116">
        <v>44950</v>
      </c>
      <c r="C41" s="14" t="str">
        <f t="shared" si="0"/>
        <v/>
      </c>
      <c r="D41" s="87"/>
      <c r="E41" s="87">
        <v>0</v>
      </c>
      <c r="F41" s="23">
        <v>-4159598</v>
      </c>
      <c r="G41" s="26">
        <f>D41+E41+F41-E40-F40</f>
        <v>-5707</v>
      </c>
      <c r="H41" s="132">
        <v>300</v>
      </c>
      <c r="I41" s="25">
        <v>4900</v>
      </c>
      <c r="J41" s="25">
        <v>500</v>
      </c>
      <c r="K41" s="170">
        <f t="shared" si="9"/>
        <v>5700</v>
      </c>
      <c r="L41" s="171">
        <v>-24</v>
      </c>
      <c r="M41" s="153"/>
      <c r="N41" s="149">
        <f t="shared" si="8"/>
        <v>-31</v>
      </c>
      <c r="O41" s="67">
        <f t="shared" si="2"/>
        <v>27008.478571428757</v>
      </c>
      <c r="P41" s="7">
        <f t="shared" si="5"/>
        <v>945296.75000000652</v>
      </c>
      <c r="Q41" s="164">
        <f>Q40+N41</f>
        <v>175943.45000000019</v>
      </c>
      <c r="R41" s="29">
        <f t="shared" si="3"/>
        <v>116.06884486002926</v>
      </c>
      <c r="S41" s="5">
        <f>SUM($Q$7:$Q41)/T41+1</f>
        <v>195095.47857142877</v>
      </c>
      <c r="T41" s="18">
        <v>35</v>
      </c>
      <c r="U41" s="138">
        <f>B40+8</f>
        <v>44957</v>
      </c>
      <c r="V41" s="137"/>
      <c r="W41" s="105">
        <v>-3013270</v>
      </c>
      <c r="X41" s="167"/>
      <c r="Y41" s="156">
        <f>Y40-K41-L41+1</f>
        <v>-3013270</v>
      </c>
      <c r="Z41" s="217"/>
      <c r="AD41" s="1"/>
      <c r="AE41" s="1"/>
    </row>
    <row r="42" spans="2:31">
      <c r="B42" s="116">
        <v>44951</v>
      </c>
      <c r="C42" s="14" t="str">
        <f t="shared" si="0"/>
        <v/>
      </c>
      <c r="D42" s="87">
        <f>-62748-849+1241</f>
        <v>-62356</v>
      </c>
      <c r="E42" s="87">
        <v>87</v>
      </c>
      <c r="F42" s="23">
        <v>-4098295</v>
      </c>
      <c r="G42" s="26">
        <f>D42+E42+F42-E41-F41</f>
        <v>-966</v>
      </c>
      <c r="H42" s="132">
        <v>300</v>
      </c>
      <c r="I42" s="25">
        <v>-700</v>
      </c>
      <c r="J42" s="25">
        <v>500</v>
      </c>
      <c r="K42" s="170">
        <f t="shared" si="9"/>
        <v>100</v>
      </c>
      <c r="L42" s="171">
        <v>-1</v>
      </c>
      <c r="M42" s="153"/>
      <c r="N42" s="149">
        <f t="shared" si="8"/>
        <v>-867</v>
      </c>
      <c r="O42" s="67">
        <f t="shared" si="2"/>
        <v>26452.394444444632</v>
      </c>
      <c r="P42" s="7">
        <f t="shared" si="5"/>
        <v>952286.20000000671</v>
      </c>
      <c r="Q42" s="164">
        <f>Q41+N42-1</f>
        <v>175075.45000000019</v>
      </c>
      <c r="R42" s="29">
        <f t="shared" si="3"/>
        <v>115.73682189143928</v>
      </c>
      <c r="S42" s="5">
        <f>SUM($Q$7:$Q42)/T42-1</f>
        <v>194537.39444444462</v>
      </c>
      <c r="T42" s="18">
        <v>36</v>
      </c>
      <c r="U42" s="138"/>
      <c r="V42" s="137"/>
      <c r="W42" s="105">
        <v>-3013368</v>
      </c>
      <c r="X42" s="167"/>
      <c r="Y42" s="156">
        <f t="shared" ref="Y42:Y51" si="12">Y41-K42-L42+1</f>
        <v>-3013368</v>
      </c>
      <c r="Z42" s="217"/>
      <c r="AD42" s="1"/>
      <c r="AE42" s="1"/>
    </row>
    <row r="43" spans="2:31">
      <c r="B43" s="116">
        <v>44952</v>
      </c>
      <c r="C43" s="14" t="str">
        <f t="shared" si="0"/>
        <v/>
      </c>
      <c r="D43" s="87">
        <f>-408+775-1087</f>
        <v>-720</v>
      </c>
      <c r="E43" s="87">
        <v>2</v>
      </c>
      <c r="F43" s="23">
        <v>-4092072</v>
      </c>
      <c r="G43" s="26">
        <f>D43+E43+F43-E42-F42</f>
        <v>5418</v>
      </c>
      <c r="H43" s="132">
        <v>300</v>
      </c>
      <c r="I43" s="25">
        <v>-3800</v>
      </c>
      <c r="J43" s="25">
        <v>500</v>
      </c>
      <c r="K43" s="170">
        <f t="shared" si="9"/>
        <v>-3000</v>
      </c>
      <c r="L43" s="171">
        <v>-48</v>
      </c>
      <c r="M43" s="153"/>
      <c r="N43" s="149">
        <f t="shared" si="8"/>
        <v>2370</v>
      </c>
      <c r="O43" s="67">
        <f t="shared" si="2"/>
        <v>25990.42297297316</v>
      </c>
      <c r="P43" s="7">
        <f t="shared" si="5"/>
        <v>961645.65000000689</v>
      </c>
      <c r="Q43" s="164">
        <f>Q42+N43</f>
        <v>177445.45000000019</v>
      </c>
      <c r="R43" s="29">
        <f t="shared" si="3"/>
        <v>115.40665074603069</v>
      </c>
      <c r="S43" s="5">
        <f>SUM($Q$7:$Q43)/T43-94</f>
        <v>193982.42297297315</v>
      </c>
      <c r="T43" s="18">
        <v>37</v>
      </c>
      <c r="U43" s="138"/>
      <c r="V43" s="137"/>
      <c r="W43" s="105">
        <v>-3010322</v>
      </c>
      <c r="X43" s="167"/>
      <c r="Y43" s="156">
        <f>Y42-K43-L43-2</f>
        <v>-3010322</v>
      </c>
      <c r="Z43" s="217"/>
      <c r="AD43" s="1"/>
      <c r="AE43" s="1"/>
    </row>
    <row r="44" spans="2:31">
      <c r="B44" s="116">
        <v>44953</v>
      </c>
      <c r="C44" s="14" t="str">
        <f t="shared" si="0"/>
        <v/>
      </c>
      <c r="D44" s="87"/>
      <c r="E44" s="87">
        <v>2</v>
      </c>
      <c r="F44" s="23">
        <v>-4091722</v>
      </c>
      <c r="G44" s="26">
        <f>D44+E44+F44-E43-F43</f>
        <v>350</v>
      </c>
      <c r="H44" s="132">
        <v>300</v>
      </c>
      <c r="I44" s="25">
        <v>-2600</v>
      </c>
      <c r="J44" s="25">
        <v>500</v>
      </c>
      <c r="K44" s="170">
        <f t="shared" si="9"/>
        <v>-1800</v>
      </c>
      <c r="L44" s="171">
        <v>-42</v>
      </c>
      <c r="M44" s="153"/>
      <c r="N44" s="149">
        <f t="shared" si="8"/>
        <v>-1492</v>
      </c>
      <c r="O44" s="67">
        <f t="shared" si="2"/>
        <v>25513.423684210713</v>
      </c>
      <c r="P44" s="7">
        <f t="shared" si="5"/>
        <v>969510.10000000708</v>
      </c>
      <c r="Q44" s="164">
        <f>Q43+N44-3</f>
        <v>175950.45000000019</v>
      </c>
      <c r="R44" s="29">
        <f t="shared" si="3"/>
        <v>115.17938655462723</v>
      </c>
      <c r="S44" s="5">
        <f>SUM($Q$7:$Q44)/T44+1</f>
        <v>193600.42368421072</v>
      </c>
      <c r="T44" s="18">
        <v>38</v>
      </c>
      <c r="U44" s="138"/>
      <c r="V44" s="137"/>
      <c r="W44" s="105">
        <v>-3008479</v>
      </c>
      <c r="X44" s="167"/>
      <c r="Y44" s="156">
        <f>Y43-K44-L44+1</f>
        <v>-3008479</v>
      </c>
      <c r="Z44" s="217"/>
      <c r="AD44" s="1"/>
      <c r="AE44" s="1"/>
    </row>
    <row r="45" spans="2:31">
      <c r="B45" s="116">
        <v>44954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8"/>
        <v>0</v>
      </c>
      <c r="O45" s="67">
        <f t="shared" si="2"/>
        <v>25060.885897436085</v>
      </c>
      <c r="P45" s="7">
        <f t="shared" si="5"/>
        <v>977374.55000000726</v>
      </c>
      <c r="Q45" s="164">
        <f t="shared" ref="Q45:Q46" si="13">Q44+N45</f>
        <v>175950.45000000019</v>
      </c>
      <c r="R45" s="29">
        <f t="shared" si="3"/>
        <v>114.91015664447728</v>
      </c>
      <c r="S45" s="5">
        <f>SUM($Q$7:$Q45)/T45+1</f>
        <v>193147.88589743609</v>
      </c>
      <c r="T45" s="18">
        <v>39</v>
      </c>
      <c r="U45" s="138"/>
      <c r="V45" s="137"/>
      <c r="W45" s="105">
        <v>-3008479</v>
      </c>
      <c r="X45" s="167"/>
      <c r="Y45" s="156">
        <f>Y44-K45-L45</f>
        <v>-3008479</v>
      </c>
      <c r="Z45" s="217"/>
      <c r="AD45" s="1"/>
      <c r="AE45" s="1"/>
    </row>
    <row r="46" spans="2:31">
      <c r="B46" s="116">
        <v>44955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8"/>
        <v>0</v>
      </c>
      <c r="O46" s="67">
        <f t="shared" si="2"/>
        <v>24630.975000000188</v>
      </c>
      <c r="P46" s="7">
        <f t="shared" si="5"/>
        <v>985239.00000000745</v>
      </c>
      <c r="Q46" s="164">
        <f t="shared" si="13"/>
        <v>175950.45000000019</v>
      </c>
      <c r="R46" s="29">
        <f t="shared" si="3"/>
        <v>114.65438822983482</v>
      </c>
      <c r="S46" s="5">
        <f>SUM($Q$7:$Q46)/T46+1</f>
        <v>192717.97500000018</v>
      </c>
      <c r="T46" s="18">
        <v>40</v>
      </c>
      <c r="U46" s="138"/>
      <c r="V46" s="137"/>
      <c r="W46" s="105">
        <v>-3008479</v>
      </c>
      <c r="X46" s="167"/>
      <c r="Y46" s="156">
        <f>Y45-K46-L46</f>
        <v>-3008479</v>
      </c>
      <c r="Z46" s="217"/>
      <c r="AD46" s="1"/>
      <c r="AE46" s="1"/>
    </row>
    <row r="47" spans="2:31">
      <c r="B47" s="116">
        <v>44956</v>
      </c>
      <c r="C47" s="14" t="str">
        <f t="shared" si="0"/>
        <v/>
      </c>
      <c r="D47" s="87"/>
      <c r="E47" s="87">
        <v>5</v>
      </c>
      <c r="F47" s="23">
        <v>-4071834</v>
      </c>
      <c r="G47" s="26">
        <f>D47+E47+F47-E44-F44</f>
        <v>19891</v>
      </c>
      <c r="H47" s="132">
        <v>300</v>
      </c>
      <c r="I47" s="25">
        <v>-8000</v>
      </c>
      <c r="J47" s="25">
        <v>300</v>
      </c>
      <c r="K47" s="170">
        <f t="shared" si="9"/>
        <v>-7400</v>
      </c>
      <c r="L47" s="171">
        <v>37</v>
      </c>
      <c r="M47" s="153"/>
      <c r="N47" s="149">
        <f t="shared" si="8"/>
        <v>12528</v>
      </c>
      <c r="O47" s="67">
        <f t="shared" si="2"/>
        <v>24527.596341463603</v>
      </c>
      <c r="P47" s="7">
        <f t="shared" si="5"/>
        <v>1005631.4500000076</v>
      </c>
      <c r="Q47" s="164">
        <f>Q46+N47</f>
        <v>188478.45000000019</v>
      </c>
      <c r="R47" s="29">
        <f t="shared" si="3"/>
        <v>114.59228986439298</v>
      </c>
      <c r="S47" s="5">
        <f>SUM($Q$7:$Q47)/T47</f>
        <v>192613.59634146359</v>
      </c>
      <c r="T47" s="18">
        <v>41</v>
      </c>
      <c r="U47" s="138">
        <f>B47</f>
        <v>44956</v>
      </c>
      <c r="V47" s="137">
        <v>1906.4</v>
      </c>
      <c r="W47" s="105">
        <v>-3001115</v>
      </c>
      <c r="X47" s="167">
        <f>AVERAGE(W47:W55)</f>
        <v>-3020616.222222222</v>
      </c>
      <c r="Y47" s="156">
        <f t="shared" si="12"/>
        <v>-3001115</v>
      </c>
      <c r="Z47" s="217">
        <f>AVERAGE(Y47:Y55)</f>
        <v>-3020616.222222222</v>
      </c>
      <c r="AD47" s="1"/>
      <c r="AE47" s="1"/>
    </row>
    <row r="48" spans="2:31">
      <c r="B48" s="116">
        <v>44957</v>
      </c>
      <c r="C48" s="14" t="str">
        <f t="shared" si="0"/>
        <v/>
      </c>
      <c r="D48" s="87"/>
      <c r="E48" s="87">
        <v>110</v>
      </c>
      <c r="F48" s="23">
        <v>-3997289</v>
      </c>
      <c r="G48" s="26">
        <f>D48+E48+F48-E47-F47</f>
        <v>74650</v>
      </c>
      <c r="H48" s="132">
        <v>300</v>
      </c>
      <c r="I48" s="25">
        <v>10900</v>
      </c>
      <c r="J48" s="25">
        <v>300</v>
      </c>
      <c r="K48" s="170">
        <f t="shared" si="9"/>
        <v>11500</v>
      </c>
      <c r="L48" s="171">
        <v>-31</v>
      </c>
      <c r="M48" s="153"/>
      <c r="N48" s="149">
        <f t="shared" si="8"/>
        <v>86119</v>
      </c>
      <c r="O48" s="67">
        <f t="shared" si="2"/>
        <v>26479.545238095423</v>
      </c>
      <c r="P48" s="7">
        <f t="shared" si="5"/>
        <v>1112140.9000000078</v>
      </c>
      <c r="Q48" s="164">
        <f>Q47+N48-2</f>
        <v>274595.45000000019</v>
      </c>
      <c r="R48" s="29">
        <f t="shared" si="3"/>
        <v>115.7535697429265</v>
      </c>
      <c r="S48" s="5">
        <f>SUM($Q$7:$Q48)/T48</f>
        <v>194565.54523809542</v>
      </c>
      <c r="T48" s="18">
        <v>42</v>
      </c>
      <c r="U48" s="138">
        <f>B47+8</f>
        <v>44964</v>
      </c>
      <c r="V48" s="137"/>
      <c r="W48" s="105">
        <v>-3012582</v>
      </c>
      <c r="X48" s="167"/>
      <c r="Y48" s="156">
        <f>Y47-K48-L48+2</f>
        <v>-3012582</v>
      </c>
      <c r="Z48" s="217"/>
      <c r="AD48" s="1"/>
      <c r="AE48" s="1"/>
    </row>
    <row r="49" spans="2:31">
      <c r="B49" s="116">
        <v>44958</v>
      </c>
      <c r="C49" s="14" t="str">
        <f t="shared" si="0"/>
        <v/>
      </c>
      <c r="D49" s="87">
        <f>-1241+784</f>
        <v>-457</v>
      </c>
      <c r="E49" s="87">
        <v>50</v>
      </c>
      <c r="F49" s="23">
        <v>-4108848</v>
      </c>
      <c r="G49" s="26">
        <f t="shared" ref="G49:G55" si="14">D49+E49+F49-E48-F48</f>
        <v>-112076</v>
      </c>
      <c r="H49" s="132">
        <v>10300</v>
      </c>
      <c r="I49" s="25">
        <v>13700</v>
      </c>
      <c r="J49" s="25">
        <v>300</v>
      </c>
      <c r="K49" s="170">
        <f t="shared" si="9"/>
        <v>24300</v>
      </c>
      <c r="L49" s="171">
        <v>48</v>
      </c>
      <c r="M49" s="153"/>
      <c r="N49" s="149">
        <f t="shared" si="8"/>
        <v>-87728</v>
      </c>
      <c r="O49" s="67">
        <f t="shared" si="2"/>
        <v>26300.519767442045</v>
      </c>
      <c r="P49" s="7">
        <f t="shared" si="5"/>
        <v>1130922.350000008</v>
      </c>
      <c r="Q49" s="164">
        <f>Q48+N49</f>
        <v>186867.45000000019</v>
      </c>
      <c r="R49" s="29">
        <f t="shared" si="3"/>
        <v>115.64706148486017</v>
      </c>
      <c r="S49" s="5">
        <f>SUM($Q$7:$Q49)/T49</f>
        <v>194386.51976744205</v>
      </c>
      <c r="T49" s="18">
        <v>43</v>
      </c>
      <c r="U49" s="138"/>
      <c r="V49" s="137"/>
      <c r="W49" s="105">
        <v>-3036929</v>
      </c>
      <c r="X49" s="167"/>
      <c r="Y49" s="156">
        <f t="shared" si="12"/>
        <v>-3036929</v>
      </c>
      <c r="Z49" s="217"/>
      <c r="AD49" s="1"/>
      <c r="AE49" s="1"/>
    </row>
    <row r="50" spans="2:31">
      <c r="B50" s="116">
        <v>44959</v>
      </c>
      <c r="C50" s="14" t="str">
        <f t="shared" si="0"/>
        <v/>
      </c>
      <c r="D50" s="87"/>
      <c r="E50" s="87">
        <v>32</v>
      </c>
      <c r="F50" s="23">
        <v>-4090188</v>
      </c>
      <c r="G50" s="26">
        <f t="shared" si="14"/>
        <v>18642</v>
      </c>
      <c r="H50" s="132">
        <v>300</v>
      </c>
      <c r="I50" s="25">
        <v>-14100</v>
      </c>
      <c r="J50" s="25">
        <v>300</v>
      </c>
      <c r="K50" s="170">
        <f t="shared" si="9"/>
        <v>-13500</v>
      </c>
      <c r="L50" s="171">
        <v>34</v>
      </c>
      <c r="M50" s="153"/>
      <c r="N50" s="149">
        <f t="shared" si="8"/>
        <v>5176</v>
      </c>
      <c r="O50" s="67">
        <f t="shared" si="2"/>
        <v>26247.245454545642</v>
      </c>
      <c r="P50" s="7">
        <f t="shared" si="5"/>
        <v>1154878.8000000082</v>
      </c>
      <c r="Q50" s="164">
        <f>Q49+N50-1</f>
        <v>192042.45000000019</v>
      </c>
      <c r="R50" s="29">
        <f t="shared" si="3"/>
        <v>115.61536680898207</v>
      </c>
      <c r="S50" s="5">
        <f>SUM($Q$7:$Q50)/T50</f>
        <v>194333.24545454563</v>
      </c>
      <c r="T50" s="18">
        <v>44</v>
      </c>
      <c r="U50" s="138"/>
      <c r="V50" s="137"/>
      <c r="W50" s="105">
        <v>-3023462</v>
      </c>
      <c r="X50" s="167"/>
      <c r="Y50" s="156">
        <f t="shared" si="12"/>
        <v>-3023462</v>
      </c>
      <c r="Z50" s="217"/>
      <c r="AD50" s="1"/>
      <c r="AE50" s="1"/>
    </row>
    <row r="51" spans="2:31">
      <c r="B51" s="116">
        <v>44960</v>
      </c>
      <c r="C51" s="14" t="str">
        <f t="shared" si="0"/>
        <v/>
      </c>
      <c r="D51" s="87"/>
      <c r="E51" s="87">
        <v>24</v>
      </c>
      <c r="F51" s="23">
        <v>-4079293</v>
      </c>
      <c r="G51" s="26">
        <f t="shared" si="14"/>
        <v>10887</v>
      </c>
      <c r="H51" s="132">
        <v>300</v>
      </c>
      <c r="I51" s="25">
        <v>-1200</v>
      </c>
      <c r="J51" s="25">
        <v>200</v>
      </c>
      <c r="K51" s="170">
        <f t="shared" si="9"/>
        <v>-700</v>
      </c>
      <c r="L51" s="171">
        <v>3</v>
      </c>
      <c r="M51" s="153"/>
      <c r="N51" s="149">
        <f t="shared" si="8"/>
        <v>10190</v>
      </c>
      <c r="O51" s="67">
        <f t="shared" si="2"/>
        <v>26422.738888889075</v>
      </c>
      <c r="P51" s="7">
        <f t="shared" si="5"/>
        <v>1189023.2500000084</v>
      </c>
      <c r="Q51" s="164">
        <f t="shared" ref="Q51" si="15">Q50+N51-2</f>
        <v>202230.45000000019</v>
      </c>
      <c r="R51" s="29">
        <f t="shared" si="3"/>
        <v>115.7197737401622</v>
      </c>
      <c r="S51" s="5">
        <f>SUM($Q$7:$Q51)/T51</f>
        <v>194508.73888888906</v>
      </c>
      <c r="T51" s="18">
        <v>45</v>
      </c>
      <c r="U51" s="138"/>
      <c r="V51" s="137"/>
      <c r="W51" s="105">
        <v>-3022764</v>
      </c>
      <c r="X51" s="167"/>
      <c r="Y51" s="156">
        <f t="shared" si="12"/>
        <v>-3022764</v>
      </c>
      <c r="Z51" s="217"/>
      <c r="AD51" s="1"/>
      <c r="AE51" s="1"/>
    </row>
    <row r="52" spans="2:31">
      <c r="B52" s="116">
        <v>44961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26590.60217391323</v>
      </c>
      <c r="P52" s="7">
        <f t="shared" si="5"/>
        <v>1223167.7000000086</v>
      </c>
      <c r="Q52" s="164">
        <f>Q51+N52</f>
        <v>202230.45000000019</v>
      </c>
      <c r="R52" s="29">
        <f t="shared" si="3"/>
        <v>115.81964123955188</v>
      </c>
      <c r="S52" s="5">
        <f>SUM($Q$7:$Q52)/T52</f>
        <v>194676.60217391318</v>
      </c>
      <c r="T52" s="18">
        <v>46</v>
      </c>
      <c r="U52" s="138"/>
      <c r="V52" s="137"/>
      <c r="W52" s="105">
        <v>-3022764</v>
      </c>
      <c r="X52" s="167"/>
      <c r="Y52" s="156">
        <f>Y51-K52-L52</f>
        <v>-3022764</v>
      </c>
      <c r="Z52" s="217"/>
      <c r="AD52" s="1"/>
      <c r="AE52" s="1"/>
    </row>
    <row r="53" spans="2:31">
      <c r="B53" s="116">
        <v>44962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26751.322340425719</v>
      </c>
      <c r="P53" s="7">
        <f t="shared" si="5"/>
        <v>1257312.1500000088</v>
      </c>
      <c r="Q53" s="164">
        <f>Q52+N53</f>
        <v>202230.45000000019</v>
      </c>
      <c r="R53" s="29">
        <f t="shared" si="3"/>
        <v>115.91525905811648</v>
      </c>
      <c r="S53" s="5">
        <f>SUM($Q$7:$Q53)/T53</f>
        <v>194837.32234042566</v>
      </c>
      <c r="T53" s="18">
        <v>47</v>
      </c>
      <c r="U53" s="138"/>
      <c r="V53" s="137"/>
      <c r="W53" s="105">
        <v>-3022764</v>
      </c>
      <c r="X53" s="167"/>
      <c r="Y53" s="156">
        <f>Y52-K53-L53</f>
        <v>-3022764</v>
      </c>
      <c r="Z53" s="217"/>
      <c r="AD53" s="1"/>
      <c r="AE53" s="1"/>
    </row>
    <row r="54" spans="2:31">
      <c r="B54" s="116">
        <v>44963</v>
      </c>
      <c r="C54" s="14" t="str">
        <f t="shared" si="0"/>
        <v/>
      </c>
      <c r="D54" s="87"/>
      <c r="E54" s="87">
        <v>25</v>
      </c>
      <c r="F54" s="23">
        <v>-4040269</v>
      </c>
      <c r="G54" s="26">
        <f>D54+E54+F54-E51-F51</f>
        <v>39025</v>
      </c>
      <c r="H54" s="132">
        <v>300</v>
      </c>
      <c r="I54" s="25">
        <v>300</v>
      </c>
      <c r="J54" s="25">
        <v>400</v>
      </c>
      <c r="K54" s="170">
        <f t="shared" si="9"/>
        <v>1000</v>
      </c>
      <c r="L54" s="171">
        <v>-49</v>
      </c>
      <c r="M54" s="153"/>
      <c r="N54" s="149">
        <f t="shared" si="8"/>
        <v>39976</v>
      </c>
      <c r="O54" s="67">
        <f t="shared" si="2"/>
        <v>27738.158333333518</v>
      </c>
      <c r="P54" s="7">
        <f t="shared" si="5"/>
        <v>1331431.6000000089</v>
      </c>
      <c r="Q54" s="164">
        <f>Q53+N54-1</f>
        <v>242205.45000000019</v>
      </c>
      <c r="R54" s="29">
        <f t="shared" si="3"/>
        <v>116.50236089462148</v>
      </c>
      <c r="S54" s="5">
        <f>SUM($Q$7:$Q54)/T54</f>
        <v>195824.15833333344</v>
      </c>
      <c r="T54" s="18">
        <v>48</v>
      </c>
      <c r="U54" s="138"/>
      <c r="V54" s="137"/>
      <c r="W54" s="105">
        <v>-3023715</v>
      </c>
      <c r="X54" s="167"/>
      <c r="Y54" s="156">
        <f>Y53-K54-L54</f>
        <v>-3023715</v>
      </c>
      <c r="Z54" s="217"/>
      <c r="AD54" s="1"/>
      <c r="AE54" s="1"/>
    </row>
    <row r="55" spans="2:31">
      <c r="B55" s="116">
        <v>44964</v>
      </c>
      <c r="C55" s="14" t="str">
        <f t="shared" si="0"/>
        <v/>
      </c>
      <c r="D55" s="87"/>
      <c r="E55" s="87">
        <v>39</v>
      </c>
      <c r="F55" s="23">
        <v>-4093278</v>
      </c>
      <c r="G55" s="26">
        <f t="shared" si="14"/>
        <v>-52995</v>
      </c>
      <c r="H55" s="132">
        <v>300</v>
      </c>
      <c r="I55" s="25">
        <v>-5000</v>
      </c>
      <c r="J55" s="25">
        <v>400</v>
      </c>
      <c r="K55" s="170">
        <f t="shared" si="9"/>
        <v>-4300</v>
      </c>
      <c r="L55" s="171">
        <v>36</v>
      </c>
      <c r="M55" s="153"/>
      <c r="N55" s="149">
        <f t="shared" si="8"/>
        <v>-57259</v>
      </c>
      <c r="O55" s="67">
        <f t="shared" si="2"/>
        <v>27516.164285714472</v>
      </c>
      <c r="P55" s="7">
        <f t="shared" si="5"/>
        <v>1348292.0500000091</v>
      </c>
      <c r="Q55" s="164">
        <f>Q54+N55</f>
        <v>184946.45000000019</v>
      </c>
      <c r="R55" s="29">
        <f t="shared" si="3"/>
        <v>116.46964309086681</v>
      </c>
      <c r="S55" s="5">
        <f>SUM($Q$7:$Q55)/T55+167</f>
        <v>195769.16428571439</v>
      </c>
      <c r="T55" s="18">
        <v>49</v>
      </c>
      <c r="U55" s="138"/>
      <c r="V55" s="137"/>
      <c r="W55" s="105">
        <v>-3019451</v>
      </c>
      <c r="X55" s="167"/>
      <c r="Y55" s="156">
        <f>Y54-K55-L55</f>
        <v>-3019451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'DEC 2022'!Q55</f>
        <v>213167.45000000019</v>
      </c>
    </row>
    <row r="60" spans="2:31">
      <c r="D60" s="138" t="s">
        <v>4</v>
      </c>
      <c r="E60" s="139"/>
      <c r="F60" s="143"/>
      <c r="G60" s="91">
        <f>'DEC 2022'!E55</f>
        <v>3</v>
      </c>
    </row>
    <row r="61" spans="2:31">
      <c r="D61" s="138" t="s">
        <v>60</v>
      </c>
      <c r="E61" s="144"/>
      <c r="F61" s="143"/>
      <c r="G61" s="91">
        <f>'DEC 2022'!F55</f>
        <v>-4427616</v>
      </c>
    </row>
    <row r="62" spans="2:31" ht="12.75" thickBot="1">
      <c r="D62" s="140" t="s">
        <v>46</v>
      </c>
      <c r="E62" s="145"/>
      <c r="F62" s="146"/>
      <c r="G62" s="158">
        <f>'DEC 2022'!Y55</f>
        <v>-2819078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B91D-C49E-4BE3-894A-494107AC54CC}">
  <sheetPr codeName="Sheet38">
    <pageSetUpPr fitToPage="1"/>
  </sheetPr>
  <dimension ref="B1:IU65506"/>
  <sheetViews>
    <sheetView zoomScaleNormal="100" workbookViewId="0">
      <pane xSplit="2" ySplit="6" topLeftCell="G19" activePane="bottomRight" state="frozen"/>
      <selection pane="topRight" activeCell="C1" sqref="C1"/>
      <selection pane="bottomLeft" activeCell="A7" sqref="A7"/>
      <selection pane="bottomRight" activeCell="H26" sqref="H26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164638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44965</v>
      </c>
      <c r="C7" s="196" t="str">
        <f t="shared" ref="C7:C48" si="0">IF(OR(WEEKDAY(B7)=1,WEEKDAY(B7)=7),"F","")</f>
        <v/>
      </c>
      <c r="D7" s="197">
        <f>-784+978</f>
        <v>194</v>
      </c>
      <c r="E7" s="197">
        <v>40</v>
      </c>
      <c r="F7" s="198">
        <v>-3925870</v>
      </c>
      <c r="G7" s="199">
        <f>D7+E7+F7-G53-G54</f>
        <v>167603</v>
      </c>
      <c r="H7" s="132">
        <v>300</v>
      </c>
      <c r="I7" s="63">
        <v>10400</v>
      </c>
      <c r="J7" s="63">
        <v>400</v>
      </c>
      <c r="K7" s="170">
        <f t="shared" ref="K7:K9" si="1">+H7+I7+J7</f>
        <v>11100</v>
      </c>
      <c r="L7" s="169">
        <v>41</v>
      </c>
      <c r="M7" s="203"/>
      <c r="N7" s="204">
        <f>L7+K7+G7+M7</f>
        <v>178744</v>
      </c>
      <c r="O7" s="205">
        <f t="shared" ref="O7:O48" si="2">P7/T7</f>
        <v>199053.45000000019</v>
      </c>
      <c r="P7" s="206">
        <f>(+$Q7-$Q$3)</f>
        <v>199053.45000000019</v>
      </c>
      <c r="Q7" s="207">
        <f>G52+N7+1</f>
        <v>363691.45000000019</v>
      </c>
      <c r="R7" s="208">
        <f t="shared" ref="R7:R48" si="3">$S7/$Q$3*100</f>
        <v>220.90370995760406</v>
      </c>
      <c r="S7" s="209">
        <f>$Q7</f>
        <v>363691.45000000019</v>
      </c>
      <c r="T7" s="210">
        <v>1</v>
      </c>
      <c r="U7" s="211">
        <f>B7</f>
        <v>44965</v>
      </c>
      <c r="V7" s="212">
        <v>1934.3</v>
      </c>
      <c r="W7" s="213">
        <v>-3030592</v>
      </c>
      <c r="X7" s="214">
        <f>AVERAGE(W7:W11)</f>
        <v>-3051148.8</v>
      </c>
      <c r="Y7" s="215">
        <f>G55-K7-L7</f>
        <v>-3030592</v>
      </c>
      <c r="Z7" s="216">
        <f>AVERAGE(Y7:Y13)</f>
        <v>-3057407.7142857141</v>
      </c>
      <c r="AA7" s="92"/>
    </row>
    <row r="8" spans="2:255">
      <c r="B8" s="116">
        <v>44966</v>
      </c>
      <c r="C8" s="14"/>
      <c r="D8" s="87"/>
      <c r="E8" s="128">
        <v>51</v>
      </c>
      <c r="F8" s="162">
        <v>-4087852</v>
      </c>
      <c r="G8" s="26">
        <f>D8+E8+F8-E7-F7</f>
        <v>-161971</v>
      </c>
      <c r="H8" s="132">
        <v>300</v>
      </c>
      <c r="I8" s="63">
        <v>15100</v>
      </c>
      <c r="J8" s="63">
        <v>300</v>
      </c>
      <c r="K8" s="170">
        <f t="shared" si="1"/>
        <v>15700</v>
      </c>
      <c r="L8" s="171">
        <v>-50</v>
      </c>
      <c r="M8" s="153"/>
      <c r="N8" s="149">
        <f>L8+K8+G8+M8</f>
        <v>-146321</v>
      </c>
      <c r="O8" s="67">
        <f t="shared" si="2"/>
        <v>125134.95000000019</v>
      </c>
      <c r="P8" s="163">
        <f>(IF($Q8&lt;0,-$Q$3+P7,($Q8-$Q$3)+P7))</f>
        <v>250269.90000000037</v>
      </c>
      <c r="Q8" s="164">
        <f>Q7+N8-1516</f>
        <v>215854.45000000019</v>
      </c>
      <c r="R8" s="29">
        <f t="shared" si="3"/>
        <v>176.00611644942248</v>
      </c>
      <c r="S8" s="165">
        <f>SUM($Q$7:$Q8)/T8</f>
        <v>289772.95000000019</v>
      </c>
      <c r="T8" s="166">
        <v>2</v>
      </c>
      <c r="U8" s="138">
        <f>B7+6</f>
        <v>44971</v>
      </c>
      <c r="V8" s="131"/>
      <c r="W8" s="105">
        <v>-3044726</v>
      </c>
      <c r="X8" s="167"/>
      <c r="Y8" s="156">
        <f>Y7-K8-L8+1516</f>
        <v>-3044726</v>
      </c>
      <c r="Z8" s="217"/>
      <c r="AA8" s="92"/>
    </row>
    <row r="9" spans="2:255">
      <c r="B9" s="116">
        <v>44967</v>
      </c>
      <c r="C9" s="14" t="str">
        <f t="shared" si="0"/>
        <v/>
      </c>
      <c r="D9" s="87"/>
      <c r="E9" s="87">
        <v>55</v>
      </c>
      <c r="F9" s="23">
        <v>-4138559</v>
      </c>
      <c r="G9" s="26">
        <f>D9+E9+F9-E8-F8</f>
        <v>-50703</v>
      </c>
      <c r="H9" s="132">
        <v>300</v>
      </c>
      <c r="I9" s="63">
        <v>14800</v>
      </c>
      <c r="J9" s="63">
        <v>300</v>
      </c>
      <c r="K9" s="170">
        <f t="shared" si="1"/>
        <v>15400</v>
      </c>
      <c r="L9" s="171">
        <v>17</v>
      </c>
      <c r="M9" s="153"/>
      <c r="N9" s="149">
        <f>L9+K9+G9+M9</f>
        <v>-35286</v>
      </c>
      <c r="O9" s="67">
        <f t="shared" si="2"/>
        <v>88733.116666666858</v>
      </c>
      <c r="P9" s="163">
        <f t="shared" ref="P9" si="4">(IF($Q9&lt;0,-$Q$3+P8,($Q9-$Q$3)+P8))</f>
        <v>266199.35000000056</v>
      </c>
      <c r="Q9" s="164">
        <f>Q8+N9-1</f>
        <v>180567.45000000019</v>
      </c>
      <c r="R9" s="29">
        <f t="shared" si="3"/>
        <v>153.8964981757959</v>
      </c>
      <c r="S9" s="5">
        <f>SUM($Q$7:$Q9)/T9+1</f>
        <v>253372.11666666684</v>
      </c>
      <c r="T9" s="17">
        <v>3</v>
      </c>
      <c r="U9" s="4"/>
      <c r="V9" s="131"/>
      <c r="W9" s="105">
        <v>-3060142</v>
      </c>
      <c r="X9" s="167"/>
      <c r="Y9" s="156">
        <f>Y8-K9-L9+1</f>
        <v>-3060142</v>
      </c>
      <c r="Z9" s="217"/>
      <c r="AA9" s="92"/>
    </row>
    <row r="10" spans="2:255">
      <c r="B10" s="116">
        <v>44968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70532.200000000186</v>
      </c>
      <c r="P10" s="163">
        <f>(IF($Q10&lt;0,-$Q$3+P9,($Q10-$Q$3)+P9))</f>
        <v>282128.80000000075</v>
      </c>
      <c r="Q10" s="164">
        <f>Q9+N10</f>
        <v>180567.45000000019</v>
      </c>
      <c r="R10" s="29">
        <f t="shared" si="3"/>
        <v>142.84017055600785</v>
      </c>
      <c r="S10" s="5">
        <f>SUM($Q$7:$Q10)/T10-1</f>
        <v>235169.20000000019</v>
      </c>
      <c r="T10" s="17">
        <v>4</v>
      </c>
      <c r="U10" s="4"/>
      <c r="V10" s="131"/>
      <c r="W10" s="105">
        <v>-3060142</v>
      </c>
      <c r="X10" s="167"/>
      <c r="Y10" s="156">
        <f>Y9-K10-L10</f>
        <v>-3060142</v>
      </c>
      <c r="Z10" s="217"/>
      <c r="AA10" s="92"/>
    </row>
    <row r="11" spans="2:255">
      <c r="B11" s="116">
        <v>44969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59611.650000000183</v>
      </c>
      <c r="P11" s="163">
        <f t="shared" ref="P11:P48" si="5">(IF($Q11&lt;0,-$Q$3+P10,($Q11-$Q$3)+P10))</f>
        <v>298058.25000000093</v>
      </c>
      <c r="Q11" s="164">
        <f t="shared" ref="Q11:Q18" si="6">Q10+N11</f>
        <v>180567.45000000019</v>
      </c>
      <c r="R11" s="29">
        <f t="shared" si="3"/>
        <v>136.20710285596289</v>
      </c>
      <c r="S11" s="5">
        <f>SUM($Q$7:$Q11)/T11-1</f>
        <v>224248.6500000002</v>
      </c>
      <c r="T11" s="17">
        <v>5</v>
      </c>
      <c r="U11" s="27"/>
      <c r="V11" s="134"/>
      <c r="W11" s="105">
        <v>-3060142</v>
      </c>
      <c r="X11" s="167"/>
      <c r="Y11" s="156">
        <f t="shared" ref="Y11:Y39" si="7">Y10-K11-L11</f>
        <v>-3060142</v>
      </c>
      <c r="Z11" s="217"/>
      <c r="AA11" s="92"/>
    </row>
    <row r="12" spans="2:255">
      <c r="B12" s="116">
        <v>44970</v>
      </c>
      <c r="C12" s="14"/>
      <c r="D12" s="87"/>
      <c r="E12" s="87">
        <v>79</v>
      </c>
      <c r="F12" s="23">
        <v>-4155771</v>
      </c>
      <c r="G12" s="26">
        <f>D12+E12+F12-E9-F9</f>
        <v>-17188</v>
      </c>
      <c r="H12" s="132">
        <v>300</v>
      </c>
      <c r="I12" s="63">
        <v>9900</v>
      </c>
      <c r="J12" s="63">
        <v>300</v>
      </c>
      <c r="K12" s="170">
        <f t="shared" ref="K12:K48" si="8">+H12+I12+J12</f>
        <v>10500</v>
      </c>
      <c r="L12" s="171">
        <v>-2</v>
      </c>
      <c r="M12" s="153"/>
      <c r="N12" s="149">
        <f t="shared" ref="N12:N48" si="9">L12+K12+G12+M12</f>
        <v>-6690</v>
      </c>
      <c r="O12" s="67">
        <f t="shared" si="2"/>
        <v>51216.116666666851</v>
      </c>
      <c r="P12" s="163">
        <f t="shared" si="5"/>
        <v>307296.70000000112</v>
      </c>
      <c r="Q12" s="164">
        <f>Q11+N12-1</f>
        <v>173876.45000000019</v>
      </c>
      <c r="R12" s="29">
        <f t="shared" si="3"/>
        <v>131.10832047684426</v>
      </c>
      <c r="S12" s="5">
        <f>SUM($Q$7:$Q12)/T12</f>
        <v>215854.11666666684</v>
      </c>
      <c r="T12" s="17">
        <v>6</v>
      </c>
      <c r="U12" s="138">
        <v>44917</v>
      </c>
      <c r="V12" s="310">
        <v>1932</v>
      </c>
      <c r="W12" s="105">
        <v>-3070640</v>
      </c>
      <c r="X12" s="167">
        <f>AVERAGE(W12:W20)</f>
        <v>-3064692.4444444445</v>
      </c>
      <c r="Y12" s="156">
        <f>Y11-K12-L12</f>
        <v>-3070640</v>
      </c>
      <c r="Z12" s="217">
        <f>AVERAGE(Y12:Y20)</f>
        <v>-3064692.4444444445</v>
      </c>
      <c r="AA12" s="92"/>
    </row>
    <row r="13" spans="2:255">
      <c r="B13" s="116">
        <v>44971</v>
      </c>
      <c r="C13" s="14"/>
      <c r="D13" s="87"/>
      <c r="E13" s="87">
        <v>80</v>
      </c>
      <c r="F13" s="23">
        <v>-4168355</v>
      </c>
      <c r="G13" s="26">
        <f>D13+E13+F13-E12-F12</f>
        <v>-12583</v>
      </c>
      <c r="H13" s="132">
        <v>300</v>
      </c>
      <c r="I13" s="63">
        <v>4200</v>
      </c>
      <c r="J13" s="63">
        <v>300</v>
      </c>
      <c r="K13" s="170">
        <f t="shared" si="8"/>
        <v>4800</v>
      </c>
      <c r="L13" s="171">
        <v>29</v>
      </c>
      <c r="M13" s="153"/>
      <c r="N13" s="149">
        <f t="shared" si="9"/>
        <v>-7754</v>
      </c>
      <c r="O13" s="67">
        <f t="shared" si="2"/>
        <v>44111.878571428759</v>
      </c>
      <c r="P13" s="163">
        <f t="shared" si="5"/>
        <v>308783.1500000013</v>
      </c>
      <c r="Q13" s="164">
        <f>Q12+N13+2</f>
        <v>166124.45000000019</v>
      </c>
      <c r="R13" s="29">
        <f t="shared" si="3"/>
        <v>126.79264724512491</v>
      </c>
      <c r="S13" s="5">
        <f>SUM($Q$7:$Q13)/T13-1</f>
        <v>208748.87857142877</v>
      </c>
      <c r="T13" s="17">
        <v>7</v>
      </c>
      <c r="U13" s="138">
        <f>B14+6</f>
        <v>44978</v>
      </c>
      <c r="V13" s="249"/>
      <c r="W13" s="105">
        <v>-3075470</v>
      </c>
      <c r="X13" s="167"/>
      <c r="Y13" s="156">
        <f>Y12-K13-L13-1</f>
        <v>-3075470</v>
      </c>
      <c r="Z13" s="217"/>
      <c r="AA13" s="92"/>
      <c r="AB13" s="92"/>
    </row>
    <row r="14" spans="2:255">
      <c r="B14" s="116">
        <v>44972</v>
      </c>
      <c r="C14" s="14"/>
      <c r="D14" s="87">
        <f>-978+797</f>
        <v>-181</v>
      </c>
      <c r="E14" s="87">
        <v>0</v>
      </c>
      <c r="F14" s="23">
        <v>-4156423</v>
      </c>
      <c r="G14" s="26">
        <f>D14+E14+F14-E13-F13</f>
        <v>11671</v>
      </c>
      <c r="H14" s="132">
        <v>300</v>
      </c>
      <c r="I14" s="63">
        <v>-12600</v>
      </c>
      <c r="J14" s="63">
        <v>300</v>
      </c>
      <c r="K14" s="170">
        <f t="shared" si="8"/>
        <v>-12000</v>
      </c>
      <c r="L14" s="171">
        <v>-15</v>
      </c>
      <c r="M14" s="154"/>
      <c r="N14" s="149">
        <f>L14+K14+G14+M14</f>
        <v>-344</v>
      </c>
      <c r="O14" s="67">
        <f>P14/T14+1</f>
        <v>38741.825000000186</v>
      </c>
      <c r="P14" s="163">
        <f t="shared" si="5"/>
        <v>309926.60000000149</v>
      </c>
      <c r="Q14" s="164">
        <f>Q13+N14+1</f>
        <v>165781.45000000019</v>
      </c>
      <c r="R14" s="29">
        <f t="shared" si="3"/>
        <v>123.53152066959036</v>
      </c>
      <c r="S14" s="5">
        <f>SUM($Q$7:$Q14)/T14+1</f>
        <v>203379.82500000019</v>
      </c>
      <c r="T14" s="17">
        <v>8</v>
      </c>
      <c r="U14" s="4"/>
      <c r="V14" s="4"/>
      <c r="W14" s="105">
        <v>-3063456</v>
      </c>
      <c r="X14" s="167"/>
      <c r="Y14" s="156">
        <f>Y13-K14-L14-1</f>
        <v>-3063456</v>
      </c>
      <c r="Z14" s="217"/>
      <c r="AA14" s="92"/>
    </row>
    <row r="15" spans="2:255">
      <c r="B15" s="116">
        <v>44973</v>
      </c>
      <c r="C15" s="14" t="str">
        <f t="shared" si="0"/>
        <v/>
      </c>
      <c r="D15" s="87"/>
      <c r="E15" s="87">
        <v>0</v>
      </c>
      <c r="F15" s="23">
        <v>-4163451</v>
      </c>
      <c r="G15" s="26">
        <f>D15+E15+F15-E14-F14</f>
        <v>-7028</v>
      </c>
      <c r="H15" s="132">
        <v>2800</v>
      </c>
      <c r="I15" s="63">
        <v>5900</v>
      </c>
      <c r="J15" s="63">
        <v>300</v>
      </c>
      <c r="K15" s="170">
        <f t="shared" si="8"/>
        <v>9000</v>
      </c>
      <c r="L15" s="172">
        <v>43</v>
      </c>
      <c r="M15" s="153"/>
      <c r="N15" s="149">
        <f>L15+K15+G15+M15</f>
        <v>2015</v>
      </c>
      <c r="O15" s="67">
        <f t="shared" si="2"/>
        <v>34787.338888889077</v>
      </c>
      <c r="P15" s="7">
        <f t="shared" si="5"/>
        <v>313086.05000000168</v>
      </c>
      <c r="Q15" s="164">
        <f>Q14+N15+1</f>
        <v>167797.45000000019</v>
      </c>
      <c r="R15" s="29">
        <f t="shared" si="3"/>
        <v>121.13020012930737</v>
      </c>
      <c r="S15" s="5">
        <f>SUM($Q$7:$Q15)/T15+1</f>
        <v>199426.33888888906</v>
      </c>
      <c r="T15" s="17">
        <v>9</v>
      </c>
      <c r="U15" s="4"/>
      <c r="V15" s="4"/>
      <c r="W15" s="105">
        <v>-3072500</v>
      </c>
      <c r="X15" s="167"/>
      <c r="Y15" s="156">
        <f>Y14-K15-L15-1</f>
        <v>-3072500</v>
      </c>
      <c r="Z15" s="217"/>
      <c r="AA15" s="92"/>
      <c r="AB15" s="92"/>
    </row>
    <row r="16" spans="2:255" s="69" customFormat="1">
      <c r="B16" s="116">
        <v>44974</v>
      </c>
      <c r="C16" s="14"/>
      <c r="D16" s="129"/>
      <c r="E16" s="87">
        <v>31</v>
      </c>
      <c r="F16" s="23">
        <v>-4167387</v>
      </c>
      <c r="G16" s="26">
        <f>D16+E16+F16-E15-F15</f>
        <v>-3905</v>
      </c>
      <c r="H16" s="132">
        <v>-800</v>
      </c>
      <c r="I16" s="63">
        <v>1600</v>
      </c>
      <c r="J16" s="63">
        <v>300</v>
      </c>
      <c r="K16" s="170">
        <f t="shared" si="8"/>
        <v>1100</v>
      </c>
      <c r="L16" s="172">
        <v>-8</v>
      </c>
      <c r="M16" s="153"/>
      <c r="N16" s="152">
        <f>L16+K16+G16+M16</f>
        <v>-2813</v>
      </c>
      <c r="O16" s="67">
        <f t="shared" si="2"/>
        <v>31343.250000000186</v>
      </c>
      <c r="P16" s="70">
        <f t="shared" si="5"/>
        <v>313432.50000000186</v>
      </c>
      <c r="Q16" s="164">
        <f>Q15+N16</f>
        <v>164984.45000000019</v>
      </c>
      <c r="R16" s="71">
        <f t="shared" si="3"/>
        <v>119.03767659957008</v>
      </c>
      <c r="S16" s="72">
        <f>SUM($Q$7:$Q16)/T16</f>
        <v>195981.25000000017</v>
      </c>
      <c r="T16" s="73">
        <v>10</v>
      </c>
      <c r="U16" s="218"/>
      <c r="V16" s="133"/>
      <c r="W16" s="105">
        <v>-3073593</v>
      </c>
      <c r="X16" s="167"/>
      <c r="Y16" s="156">
        <f>Y15-K16-L16-1</f>
        <v>-3073593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44975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28525.359090909278</v>
      </c>
      <c r="P17" s="7">
        <f t="shared" si="5"/>
        <v>313778.95000000205</v>
      </c>
      <c r="Q17" s="164">
        <f t="shared" si="6"/>
        <v>164984.45000000019</v>
      </c>
      <c r="R17" s="29">
        <f t="shared" si="3"/>
        <v>117.32610885148584</v>
      </c>
      <c r="S17" s="5">
        <f>SUM($Q$7:$Q17)/T17</f>
        <v>193163.35909090927</v>
      </c>
      <c r="T17" s="18">
        <v>11</v>
      </c>
      <c r="U17" s="27"/>
      <c r="V17" s="136"/>
      <c r="W17" s="105">
        <v>-3073593</v>
      </c>
      <c r="X17" s="167"/>
      <c r="Y17" s="156">
        <f t="shared" si="7"/>
        <v>-3073593</v>
      </c>
      <c r="Z17" s="217"/>
      <c r="AA17" s="92"/>
      <c r="AC17" s="92"/>
    </row>
    <row r="18" spans="2:31">
      <c r="B18" s="116">
        <v>44976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26177.116666666854</v>
      </c>
      <c r="P18" s="7">
        <f t="shared" si="5"/>
        <v>314125.40000000224</v>
      </c>
      <c r="Q18" s="164">
        <f t="shared" si="6"/>
        <v>164984.45000000019</v>
      </c>
      <c r="R18" s="29">
        <f t="shared" si="3"/>
        <v>115.899802394749</v>
      </c>
      <c r="S18" s="5">
        <f>SUM($Q$7:$Q18)/T18</f>
        <v>190815.11666666684</v>
      </c>
      <c r="T18" s="18">
        <v>12</v>
      </c>
      <c r="U18" s="27"/>
      <c r="V18" s="136"/>
      <c r="W18" s="105">
        <v>-3073593</v>
      </c>
      <c r="X18" s="167"/>
      <c r="Y18" s="156">
        <f t="shared" si="7"/>
        <v>-3073593</v>
      </c>
      <c r="Z18" s="217"/>
      <c r="AA18" s="92"/>
    </row>
    <row r="19" spans="2:31">
      <c r="B19" s="116">
        <v>44977</v>
      </c>
      <c r="C19" s="14" t="str">
        <f t="shared" si="0"/>
        <v/>
      </c>
      <c r="D19" s="87"/>
      <c r="E19" s="87">
        <v>5</v>
      </c>
      <c r="F19" s="23">
        <v>-4128239</v>
      </c>
      <c r="G19" s="26">
        <f>D19+E19+F19-E16-F16</f>
        <v>39122</v>
      </c>
      <c r="H19" s="132">
        <v>-16900</v>
      </c>
      <c r="I19" s="63">
        <v>-15000</v>
      </c>
      <c r="J19" s="63">
        <v>100</v>
      </c>
      <c r="K19" s="170">
        <f t="shared" si="8"/>
        <v>-31800</v>
      </c>
      <c r="L19" s="171">
        <v>36</v>
      </c>
      <c r="M19" s="153"/>
      <c r="N19" s="149">
        <f t="shared" si="9"/>
        <v>7358</v>
      </c>
      <c r="O19" s="67">
        <f t="shared" si="2"/>
        <v>24756.142307692495</v>
      </c>
      <c r="P19" s="7">
        <f t="shared" si="5"/>
        <v>321829.85000000242</v>
      </c>
      <c r="Q19" s="164">
        <f>Q18+N19</f>
        <v>172342.45000000019</v>
      </c>
      <c r="R19" s="29">
        <f t="shared" si="3"/>
        <v>115.03671224607473</v>
      </c>
      <c r="S19" s="5">
        <f>SUM($Q$7:$Q19)/T19</f>
        <v>189394.1423076925</v>
      </c>
      <c r="T19" s="18">
        <v>13</v>
      </c>
      <c r="U19" s="138">
        <f>B19</f>
        <v>44977</v>
      </c>
      <c r="V19" s="131">
        <v>1893.3</v>
      </c>
      <c r="W19" s="105">
        <v>-3041829</v>
      </c>
      <c r="X19" s="167">
        <f>AVERAGE(W20:W27)</f>
        <v>-3057949.125</v>
      </c>
      <c r="Y19" s="156">
        <f>Y18-K19-L19</f>
        <v>-3041829</v>
      </c>
      <c r="Z19" s="217">
        <f>AVERAGE(Y19:Y27)</f>
        <v>-3056158</v>
      </c>
      <c r="AA19" s="92"/>
      <c r="AD19" s="309"/>
    </row>
    <row r="20" spans="2:31">
      <c r="B20" s="116">
        <v>44978</v>
      </c>
      <c r="C20" s="14"/>
      <c r="D20" s="87"/>
      <c r="E20" s="87">
        <v>73</v>
      </c>
      <c r="F20" s="23">
        <v>-4125239</v>
      </c>
      <c r="G20" s="26">
        <f>D20+E20+F20-E19-F19</f>
        <v>3068</v>
      </c>
      <c r="H20" s="132">
        <v>-15700</v>
      </c>
      <c r="I20" s="63">
        <v>11300</v>
      </c>
      <c r="J20" s="63">
        <v>100</v>
      </c>
      <c r="K20" s="170">
        <f t="shared" si="8"/>
        <v>-4300</v>
      </c>
      <c r="L20" s="171">
        <v>30</v>
      </c>
      <c r="M20" s="153"/>
      <c r="N20" s="149">
        <f t="shared" si="9"/>
        <v>-1202</v>
      </c>
      <c r="O20" s="67">
        <f t="shared" si="2"/>
        <v>23452.307142857328</v>
      </c>
      <c r="P20" s="7">
        <f t="shared" si="5"/>
        <v>328332.30000000261</v>
      </c>
      <c r="Q20" s="164">
        <f>Q19+N20</f>
        <v>171140.45000000019</v>
      </c>
      <c r="R20" s="29">
        <f t="shared" si="3"/>
        <v>114.24477164619185</v>
      </c>
      <c r="S20" s="5">
        <f>SUM($Q$7:$Q20)/T20</f>
        <v>188090.30714285732</v>
      </c>
      <c r="T20" s="18">
        <v>14</v>
      </c>
      <c r="U20" s="138">
        <f>B19+8</f>
        <v>44985</v>
      </c>
      <c r="V20" s="131"/>
      <c r="W20" s="105">
        <v>-3037558</v>
      </c>
      <c r="X20" s="167"/>
      <c r="Y20" s="156">
        <f>Y19-K20-L20+1</f>
        <v>-3037558</v>
      </c>
      <c r="Z20" s="217"/>
      <c r="AA20" s="92"/>
      <c r="AB20" s="92"/>
    </row>
    <row r="21" spans="2:31">
      <c r="B21" s="116">
        <v>44979</v>
      </c>
      <c r="C21" s="14" t="str">
        <f t="shared" si="0"/>
        <v/>
      </c>
      <c r="D21" s="87">
        <f>-36597-797+1223</f>
        <v>-36171</v>
      </c>
      <c r="E21" s="87">
        <v>192</v>
      </c>
      <c r="F21" s="23">
        <v>-4111361</v>
      </c>
      <c r="G21" s="26">
        <f>D21+E21+F21-E20-F20</f>
        <v>-22174</v>
      </c>
      <c r="H21" s="132">
        <v>-100</v>
      </c>
      <c r="I21" s="63">
        <v>12500</v>
      </c>
      <c r="J21" s="63">
        <v>100</v>
      </c>
      <c r="K21" s="170">
        <f t="shared" si="8"/>
        <v>12500</v>
      </c>
      <c r="L21" s="171">
        <v>-6</v>
      </c>
      <c r="M21" s="153"/>
      <c r="N21" s="149">
        <f>L21+K21+G21+M21</f>
        <v>-9680</v>
      </c>
      <c r="O21" s="67">
        <f t="shared" si="2"/>
        <v>21677.116666666854</v>
      </c>
      <c r="P21" s="7">
        <f t="shared" si="5"/>
        <v>325156.75000000279</v>
      </c>
      <c r="Q21" s="164">
        <f>Q20+N21+2</f>
        <v>161462.45000000019</v>
      </c>
      <c r="R21" s="29">
        <f t="shared" si="3"/>
        <v>113.1659256469751</v>
      </c>
      <c r="S21" s="5">
        <f>SUM($Q$7:$Q21)/T21-1</f>
        <v>186314.11666666684</v>
      </c>
      <c r="T21" s="18">
        <v>15</v>
      </c>
      <c r="U21" s="4"/>
      <c r="V21" s="131"/>
      <c r="W21" s="105">
        <v>-3050053</v>
      </c>
      <c r="X21" s="167"/>
      <c r="Y21" s="156">
        <f>Y20-K21-L21-1</f>
        <v>-3050053</v>
      </c>
      <c r="Z21" s="217"/>
      <c r="AA21" s="92"/>
    </row>
    <row r="22" spans="2:31">
      <c r="B22" s="116">
        <v>44980</v>
      </c>
      <c r="C22" s="14" t="str">
        <f t="shared" si="0"/>
        <v/>
      </c>
      <c r="D22" s="87">
        <f>-997+577</f>
        <v>-420</v>
      </c>
      <c r="E22" s="87">
        <v>57</v>
      </c>
      <c r="F22" s="23">
        <v>-4111526</v>
      </c>
      <c r="G22" s="26">
        <f>D22+E22+F22-E21-F21</f>
        <v>-720</v>
      </c>
      <c r="H22" s="132">
        <v>-400</v>
      </c>
      <c r="I22" s="63">
        <v>11000</v>
      </c>
      <c r="J22" s="63">
        <v>100</v>
      </c>
      <c r="K22" s="170">
        <f t="shared" si="8"/>
        <v>10700</v>
      </c>
      <c r="L22" s="171">
        <v>21</v>
      </c>
      <c r="M22" s="153"/>
      <c r="N22" s="149">
        <f>L22+K22+G22+M22</f>
        <v>10001</v>
      </c>
      <c r="O22" s="67">
        <f t="shared" si="2"/>
        <v>20748.825000000186</v>
      </c>
      <c r="P22" s="7">
        <f t="shared" si="5"/>
        <v>331981.20000000298</v>
      </c>
      <c r="Q22" s="164">
        <f>Q21+N22-1</f>
        <v>171462.45000000019</v>
      </c>
      <c r="R22" s="29">
        <f t="shared" si="3"/>
        <v>112.60390978996355</v>
      </c>
      <c r="S22" s="5">
        <f>SUM($Q$7:$Q22)/T22+2</f>
        <v>185388.82500000019</v>
      </c>
      <c r="T22" s="18">
        <v>16</v>
      </c>
      <c r="U22" s="4"/>
      <c r="V22" s="131"/>
      <c r="W22" s="105">
        <v>-3060774</v>
      </c>
      <c r="X22" s="167"/>
      <c r="Y22" s="156">
        <f>Y21-K22-L22</f>
        <v>-3060774</v>
      </c>
      <c r="Z22" s="217"/>
      <c r="AA22" s="92"/>
    </row>
    <row r="23" spans="2:31">
      <c r="B23" s="116">
        <v>44981</v>
      </c>
      <c r="C23" s="14"/>
      <c r="D23" s="87"/>
      <c r="E23" s="87">
        <v>35</v>
      </c>
      <c r="F23" s="23">
        <v>-4112013</v>
      </c>
      <c r="G23" s="26">
        <f>D23+E23+F23-E22-F22</f>
        <v>-509</v>
      </c>
      <c r="H23" s="132">
        <v>300</v>
      </c>
      <c r="I23" s="63">
        <v>700</v>
      </c>
      <c r="J23" s="63">
        <v>100</v>
      </c>
      <c r="K23" s="170">
        <f t="shared" si="8"/>
        <v>1100</v>
      </c>
      <c r="L23" s="171">
        <v>-34</v>
      </c>
      <c r="M23" s="153"/>
      <c r="N23" s="149">
        <f>L23+K23+G23+M23</f>
        <v>557</v>
      </c>
      <c r="O23" s="67">
        <f t="shared" si="2"/>
        <v>19962.567647059012</v>
      </c>
      <c r="P23" s="7">
        <f t="shared" si="5"/>
        <v>339363.65000000317</v>
      </c>
      <c r="Q23" s="164">
        <f>Q22+N23+1</f>
        <v>172020.45000000019</v>
      </c>
      <c r="R23" s="29">
        <f t="shared" si="3"/>
        <v>112.12512764189253</v>
      </c>
      <c r="S23" s="5">
        <f>SUM($Q$7:$Q23)/T23</f>
        <v>184600.56764705901</v>
      </c>
      <c r="T23" s="18">
        <v>17</v>
      </c>
      <c r="U23" s="27"/>
      <c r="V23" s="135"/>
      <c r="W23" s="105">
        <v>-3061840</v>
      </c>
      <c r="X23" s="167"/>
      <c r="Y23" s="156">
        <f>Y22-K23-L23</f>
        <v>-3061840</v>
      </c>
      <c r="Z23" s="217"/>
      <c r="AA23" s="92"/>
    </row>
    <row r="24" spans="2:31">
      <c r="B24" s="116">
        <v>44982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19263.672222222409</v>
      </c>
      <c r="P24" s="7">
        <f t="shared" si="5"/>
        <v>346746.10000000335</v>
      </c>
      <c r="Q24" s="164">
        <f t="shared" ref="Q24:Q25" si="10">Q23+N24</f>
        <v>172020.45000000019</v>
      </c>
      <c r="R24" s="29">
        <f t="shared" si="3"/>
        <v>111.70062332038921</v>
      </c>
      <c r="S24" s="5">
        <f>SUM($Q$7:$Q24)/T24</f>
        <v>183901.67222222241</v>
      </c>
      <c r="T24" s="18">
        <v>18</v>
      </c>
      <c r="U24" s="4"/>
      <c r="V24" s="135"/>
      <c r="W24" s="105">
        <v>-3061840</v>
      </c>
      <c r="X24" s="167"/>
      <c r="Y24" s="156">
        <f t="shared" si="7"/>
        <v>-3061840</v>
      </c>
      <c r="Z24" s="217"/>
      <c r="AA24" s="92"/>
      <c r="AD24" s="1"/>
      <c r="AE24" s="1"/>
    </row>
    <row r="25" spans="2:31">
      <c r="B25" s="116">
        <v>44983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18638.344736842293</v>
      </c>
      <c r="P25" s="7">
        <f t="shared" si="5"/>
        <v>354128.55000000354</v>
      </c>
      <c r="Q25" s="164">
        <f t="shared" si="10"/>
        <v>172020.45000000019</v>
      </c>
      <c r="R25" s="29">
        <f t="shared" si="3"/>
        <v>111.32080366430732</v>
      </c>
      <c r="S25" s="5">
        <f>SUM($Q$7:$Q25)/T25</f>
        <v>183276.34473684229</v>
      </c>
      <c r="T25" s="18">
        <v>19</v>
      </c>
      <c r="U25" s="4"/>
      <c r="V25" s="131"/>
      <c r="W25" s="105">
        <v>-3061840</v>
      </c>
      <c r="X25" s="167"/>
      <c r="Y25" s="156">
        <f t="shared" si="7"/>
        <v>-3061840</v>
      </c>
      <c r="Z25" s="217"/>
      <c r="AA25" s="92"/>
      <c r="AD25" s="1"/>
      <c r="AE25" s="1"/>
    </row>
    <row r="26" spans="2:31">
      <c r="B26" s="116">
        <v>44984</v>
      </c>
      <c r="C26" s="14"/>
      <c r="D26" s="87"/>
      <c r="E26" s="87">
        <v>137</v>
      </c>
      <c r="F26" s="23">
        <v>-4116000</v>
      </c>
      <c r="G26" s="26">
        <f>D26+E26+F26-E23-F23</f>
        <v>-3885</v>
      </c>
      <c r="H26" s="132">
        <v>300</v>
      </c>
      <c r="I26" s="63">
        <v>5200</v>
      </c>
      <c r="J26" s="63">
        <v>200</v>
      </c>
      <c r="K26" s="170">
        <f t="shared" si="8"/>
        <v>5700</v>
      </c>
      <c r="L26" s="171">
        <v>-8</v>
      </c>
      <c r="M26" s="153"/>
      <c r="N26" s="149">
        <f t="shared" si="9"/>
        <v>1807</v>
      </c>
      <c r="O26" s="67">
        <f t="shared" si="2"/>
        <v>18165.850000000188</v>
      </c>
      <c r="P26" s="7">
        <f t="shared" si="5"/>
        <v>363317.00000000373</v>
      </c>
      <c r="Q26" s="164">
        <f>Q25+N26-1</f>
        <v>173826.45000000019</v>
      </c>
      <c r="R26" s="29">
        <f t="shared" si="3"/>
        <v>111.03259879250244</v>
      </c>
      <c r="S26" s="5">
        <f>SUM($Q$7:$Q26)/T26-2</f>
        <v>182801.85000000018</v>
      </c>
      <c r="T26" s="18">
        <v>20</v>
      </c>
      <c r="U26" s="138">
        <f>B26</f>
        <v>44984</v>
      </c>
      <c r="V26" s="131">
        <v>1852.9</v>
      </c>
      <c r="W26" s="105">
        <v>-3067532</v>
      </c>
      <c r="X26" s="167">
        <f>AVERAGE(W26:W34)</f>
        <v>-3083864.5555555555</v>
      </c>
      <c r="Y26" s="156">
        <f>Y25-K26-L26</f>
        <v>-3067532</v>
      </c>
      <c r="Z26" s="217">
        <f>AVERAGE(Y26:Y34)</f>
        <v>-3083864.5555555555</v>
      </c>
      <c r="AC26" s="92"/>
      <c r="AD26" s="1"/>
      <c r="AE26" s="1"/>
    </row>
    <row r="27" spans="2:31">
      <c r="B27" s="116">
        <v>44985</v>
      </c>
      <c r="C27" s="14" t="str">
        <f t="shared" si="0"/>
        <v/>
      </c>
      <c r="D27" s="87"/>
      <c r="E27" s="87">
        <v>180</v>
      </c>
      <c r="F27" s="23">
        <v>-4104789</v>
      </c>
      <c r="G27" s="26">
        <f>D27+E27+F27-E26-F26</f>
        <v>11254</v>
      </c>
      <c r="H27" s="132">
        <v>300</v>
      </c>
      <c r="I27" s="63">
        <v>-5600</v>
      </c>
      <c r="J27" s="63">
        <v>-100</v>
      </c>
      <c r="K27" s="170">
        <f t="shared" si="8"/>
        <v>-5400</v>
      </c>
      <c r="L27" s="171">
        <v>23</v>
      </c>
      <c r="M27" s="153"/>
      <c r="N27" s="149">
        <f>L27+K27+G27+M27</f>
        <v>5877</v>
      </c>
      <c r="O27" s="67">
        <f t="shared" si="2"/>
        <v>18018.259523809709</v>
      </c>
      <c r="P27" s="7">
        <f t="shared" si="5"/>
        <v>378383.45000000391</v>
      </c>
      <c r="Q27" s="164">
        <f>Q26+N27+1</f>
        <v>179704.45000000019</v>
      </c>
      <c r="R27" s="29">
        <f t="shared" si="3"/>
        <v>110.94416812874897</v>
      </c>
      <c r="S27" s="5">
        <f>SUM($Q$7:$Q27)/T27</f>
        <v>182656.25952380971</v>
      </c>
      <c r="T27" s="18">
        <v>21</v>
      </c>
      <c r="U27" s="138">
        <f>B28+6</f>
        <v>44992</v>
      </c>
      <c r="V27" s="159"/>
      <c r="W27" s="105">
        <v>-3062156</v>
      </c>
      <c r="X27" s="167"/>
      <c r="Y27" s="156">
        <f>Y26-K27-L27-1</f>
        <v>-3062156</v>
      </c>
      <c r="Z27" s="217"/>
      <c r="AA27" s="92"/>
      <c r="AD27" s="1"/>
      <c r="AE27" s="1"/>
    </row>
    <row r="28" spans="2:31">
      <c r="B28" s="116">
        <v>44986</v>
      </c>
      <c r="C28" s="14" t="str">
        <f t="shared" si="0"/>
        <v/>
      </c>
      <c r="D28" s="87">
        <f>-1223+821</f>
        <v>-402</v>
      </c>
      <c r="E28" s="87">
        <v>23</v>
      </c>
      <c r="F28" s="23">
        <v>-4140874</v>
      </c>
      <c r="G28" s="26">
        <f>D28+E28+F28-E27-F27</f>
        <v>-36644</v>
      </c>
      <c r="H28" s="132">
        <v>12300</v>
      </c>
      <c r="I28" s="63">
        <v>15600</v>
      </c>
      <c r="J28" s="63">
        <v>-100</v>
      </c>
      <c r="K28" s="170">
        <f t="shared" si="8"/>
        <v>27800</v>
      </c>
      <c r="L28" s="171">
        <v>36</v>
      </c>
      <c r="M28" s="153"/>
      <c r="N28" s="149">
        <f>L28+K28+G28+M28</f>
        <v>-8808</v>
      </c>
      <c r="O28" s="67">
        <f t="shared" si="2"/>
        <v>17483.722727272914</v>
      </c>
      <c r="P28" s="7">
        <f t="shared" si="5"/>
        <v>384641.9000000041</v>
      </c>
      <c r="Q28" s="164">
        <f>Q27+N28</f>
        <v>170896.45000000019</v>
      </c>
      <c r="R28" s="29">
        <f t="shared" si="3"/>
        <v>110.6188867255876</v>
      </c>
      <c r="S28" s="5">
        <f>SUM($Q$7:$Q28)/T28-1</f>
        <v>182120.72272727292</v>
      </c>
      <c r="T28" s="18">
        <v>22</v>
      </c>
      <c r="U28" s="4"/>
      <c r="V28" s="131"/>
      <c r="W28" s="105">
        <v>-3089991</v>
      </c>
      <c r="X28" s="167"/>
      <c r="Y28" s="156">
        <f>Y27-K28-L28+1</f>
        <v>-3089991</v>
      </c>
      <c r="Z28" s="217"/>
      <c r="AA28" s="92"/>
      <c r="AD28" s="1"/>
      <c r="AE28" s="1"/>
    </row>
    <row r="29" spans="2:31">
      <c r="B29" s="116">
        <v>44987</v>
      </c>
      <c r="C29" s="14" t="str">
        <f t="shared" si="0"/>
        <v/>
      </c>
      <c r="D29" s="87"/>
      <c r="E29" s="87">
        <v>3</v>
      </c>
      <c r="F29" s="23">
        <v>-4129447</v>
      </c>
      <c r="G29" s="26">
        <f>D29+E29+F29-E28-F28</f>
        <v>11407</v>
      </c>
      <c r="H29" s="132">
        <v>300</v>
      </c>
      <c r="I29" s="63">
        <v>-6800</v>
      </c>
      <c r="J29" s="63">
        <v>-100</v>
      </c>
      <c r="K29" s="170">
        <f t="shared" si="8"/>
        <v>-6600</v>
      </c>
      <c r="L29" s="171">
        <v>41</v>
      </c>
      <c r="M29" s="153"/>
      <c r="N29" s="149">
        <f>L29+K29+G29+M29</f>
        <v>4848</v>
      </c>
      <c r="O29" s="67">
        <f t="shared" si="2"/>
        <v>17206.450000000186</v>
      </c>
      <c r="P29" s="7">
        <f t="shared" si="5"/>
        <v>395748.35000000428</v>
      </c>
      <c r="Q29" s="164">
        <f>Q28+N29</f>
        <v>175744.45000000019</v>
      </c>
      <c r="R29" s="29">
        <f t="shared" si="3"/>
        <v>110.45108055248495</v>
      </c>
      <c r="S29" s="5">
        <f>SUM($Q$7:$Q29)/T29</f>
        <v>181844.45000000019</v>
      </c>
      <c r="T29" s="18">
        <v>23</v>
      </c>
      <c r="U29" s="4"/>
      <c r="V29" s="131"/>
      <c r="W29" s="105">
        <v>-3083432</v>
      </c>
      <c r="X29" s="167"/>
      <c r="Y29" s="156">
        <f>Y28-K29-L29</f>
        <v>-3083432</v>
      </c>
      <c r="Z29" s="217"/>
      <c r="AA29" s="92"/>
      <c r="AD29" s="1"/>
      <c r="AE29" s="1"/>
    </row>
    <row r="30" spans="2:31">
      <c r="B30" s="116">
        <v>44988</v>
      </c>
      <c r="C30" s="14" t="str">
        <f t="shared" si="0"/>
        <v/>
      </c>
      <c r="D30" s="87"/>
      <c r="E30" s="87">
        <v>4</v>
      </c>
      <c r="F30" s="23">
        <v>-4138480</v>
      </c>
      <c r="G30" s="26">
        <f>D30+E30+F30-E29-F29</f>
        <v>-9032</v>
      </c>
      <c r="H30" s="132">
        <v>300</v>
      </c>
      <c r="I30" s="25">
        <v>3800</v>
      </c>
      <c r="J30" s="25">
        <v>-100</v>
      </c>
      <c r="K30" s="170">
        <f t="shared" si="8"/>
        <v>4000</v>
      </c>
      <c r="L30" s="171">
        <v>11</v>
      </c>
      <c r="M30" s="153"/>
      <c r="N30" s="149">
        <f>L30+K30+G30+M30</f>
        <v>-5021</v>
      </c>
      <c r="O30" s="67">
        <f t="shared" si="2"/>
        <v>16743.075000000186</v>
      </c>
      <c r="P30" s="7">
        <f t="shared" si="5"/>
        <v>401833.80000000447</v>
      </c>
      <c r="Q30" s="164">
        <f>Q29+N30</f>
        <v>170723.45000000019</v>
      </c>
      <c r="R30" s="29">
        <f t="shared" si="3"/>
        <v>110.17266669906107</v>
      </c>
      <c r="S30" s="5">
        <f>SUM($Q$7:$Q30)/T30+5</f>
        <v>181386.07500000019</v>
      </c>
      <c r="T30" s="18">
        <v>24</v>
      </c>
      <c r="U30" s="4"/>
      <c r="V30" s="131"/>
      <c r="W30" s="105">
        <v>-3087443</v>
      </c>
      <c r="X30" s="167"/>
      <c r="Y30" s="156">
        <f>Y29-K30-L30</f>
        <v>-3087443</v>
      </c>
      <c r="Z30" s="217"/>
      <c r="AA30" s="92"/>
      <c r="AD30" s="1"/>
      <c r="AE30" s="1"/>
    </row>
    <row r="31" spans="2:31">
      <c r="B31" s="116">
        <v>44989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16316.770000000186</v>
      </c>
      <c r="P31" s="7">
        <f t="shared" si="5"/>
        <v>407919.25000000466</v>
      </c>
      <c r="Q31" s="164">
        <f t="shared" ref="Q31:Q39" si="11">Q30+N31</f>
        <v>170723.45000000019</v>
      </c>
      <c r="R31" s="29">
        <f t="shared" si="3"/>
        <v>109.9100875860981</v>
      </c>
      <c r="S31" s="5">
        <f>SUM($Q$7:$Q31)/T31-1</f>
        <v>180953.77000000019</v>
      </c>
      <c r="T31" s="18">
        <v>25</v>
      </c>
      <c r="U31" s="4"/>
      <c r="V31" s="137"/>
      <c r="W31" s="105">
        <v>-3087443</v>
      </c>
      <c r="X31" s="167"/>
      <c r="Y31" s="156">
        <f t="shared" si="7"/>
        <v>-3087443</v>
      </c>
      <c r="Z31" s="217"/>
      <c r="AA31" s="92"/>
      <c r="AB31" s="92"/>
      <c r="AD31" s="1"/>
      <c r="AE31" s="1"/>
    </row>
    <row r="32" spans="2:31">
      <c r="B32" s="116">
        <v>44990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15923.257692307878</v>
      </c>
      <c r="P32" s="7">
        <f t="shared" si="5"/>
        <v>414004.70000000484</v>
      </c>
      <c r="Q32" s="164">
        <f t="shared" si="11"/>
        <v>170723.45000000019</v>
      </c>
      <c r="R32" s="29">
        <f t="shared" si="3"/>
        <v>109.67107089026098</v>
      </c>
      <c r="S32" s="5">
        <f>SUM($Q$7:$Q32)/T32-1</f>
        <v>180560.25769230787</v>
      </c>
      <c r="T32" s="18">
        <v>26</v>
      </c>
      <c r="U32" s="27"/>
      <c r="V32" s="137"/>
      <c r="W32" s="105">
        <v>-3087443</v>
      </c>
      <c r="X32" s="167"/>
      <c r="Y32" s="156">
        <f t="shared" si="7"/>
        <v>-3087443</v>
      </c>
      <c r="Z32" s="217"/>
      <c r="AD32" s="1"/>
      <c r="AE32" s="1"/>
    </row>
    <row r="33" spans="2:31">
      <c r="B33" s="116">
        <v>44991</v>
      </c>
      <c r="C33" s="14" t="str">
        <f t="shared" si="0"/>
        <v/>
      </c>
      <c r="D33" s="87"/>
      <c r="E33" s="87">
        <v>4</v>
      </c>
      <c r="F33" s="23">
        <v>-4145546</v>
      </c>
      <c r="G33" s="26">
        <f>D33+E33+F33-E30-F30</f>
        <v>-7066</v>
      </c>
      <c r="H33" s="132">
        <v>300</v>
      </c>
      <c r="I33" s="25">
        <v>6700</v>
      </c>
      <c r="J33" s="25">
        <v>200</v>
      </c>
      <c r="K33" s="170">
        <f t="shared" si="8"/>
        <v>7200</v>
      </c>
      <c r="L33" s="171">
        <v>-2</v>
      </c>
      <c r="M33" s="153"/>
      <c r="N33" s="149">
        <f t="shared" si="9"/>
        <v>132</v>
      </c>
      <c r="O33" s="67">
        <f t="shared" si="2"/>
        <v>15563.78333333352</v>
      </c>
      <c r="P33" s="7">
        <f t="shared" si="5"/>
        <v>420222.15000000503</v>
      </c>
      <c r="Q33" s="164">
        <f>Q32+N33</f>
        <v>170855.45000000019</v>
      </c>
      <c r="R33" s="29">
        <f t="shared" si="3"/>
        <v>109.45333600586349</v>
      </c>
      <c r="S33" s="5">
        <f>SUM($Q$7:$Q33)/T33</f>
        <v>180201.78333333353</v>
      </c>
      <c r="T33" s="18">
        <v>27</v>
      </c>
      <c r="U33" s="138">
        <f>B33</f>
        <v>44991</v>
      </c>
      <c r="V33" s="131">
        <v>1860.1</v>
      </c>
      <c r="W33" s="105">
        <v>-3094641</v>
      </c>
      <c r="X33" s="167">
        <f>AVERAGE(W33:W41)</f>
        <v>-3103016.777777778</v>
      </c>
      <c r="Y33" s="156">
        <f>Y32-K33-L33</f>
        <v>-3094641</v>
      </c>
      <c r="Z33" s="217">
        <f>AVERAGE(Y33:Y41)</f>
        <v>-3103016.777777778</v>
      </c>
      <c r="AD33" s="1"/>
      <c r="AE33" s="1"/>
    </row>
    <row r="34" spans="2:31">
      <c r="B34" s="116">
        <v>44992</v>
      </c>
      <c r="C34" s="14" t="str">
        <f t="shared" si="0"/>
        <v/>
      </c>
      <c r="D34" s="87"/>
      <c r="E34" s="87">
        <v>6</v>
      </c>
      <c r="F34" s="23">
        <v>-4145316</v>
      </c>
      <c r="G34" s="26">
        <f>D34+E34+F34-E33-F33</f>
        <v>232</v>
      </c>
      <c r="H34" s="132">
        <v>300</v>
      </c>
      <c r="I34" s="25">
        <v>-300</v>
      </c>
      <c r="J34" s="25">
        <v>100</v>
      </c>
      <c r="K34" s="170">
        <f t="shared" si="8"/>
        <v>100</v>
      </c>
      <c r="L34" s="171">
        <v>-41</v>
      </c>
      <c r="M34" s="153"/>
      <c r="N34" s="149">
        <f>L34+K34+G34+M34</f>
        <v>291</v>
      </c>
      <c r="O34" s="67">
        <f t="shared" si="2"/>
        <v>15240.378571428757</v>
      </c>
      <c r="P34" s="7">
        <f t="shared" si="5"/>
        <v>426730.60000000522</v>
      </c>
      <c r="Q34" s="164">
        <f>Q33+N34</f>
        <v>171146.45000000019</v>
      </c>
      <c r="R34" s="29">
        <f t="shared" si="3"/>
        <v>109.25690215589884</v>
      </c>
      <c r="S34" s="5">
        <f>SUM($Q$7:$Q34)/T34</f>
        <v>179878.37857142877</v>
      </c>
      <c r="T34" s="18">
        <v>28</v>
      </c>
      <c r="U34" s="138">
        <f>B33+8</f>
        <v>44999</v>
      </c>
      <c r="V34" s="131"/>
      <c r="W34" s="105">
        <v>-3094700</v>
      </c>
      <c r="X34" s="167"/>
      <c r="Y34" s="156">
        <f>Y33-K34-L34</f>
        <v>-3094700</v>
      </c>
      <c r="Z34" s="217"/>
      <c r="AA34" s="92"/>
      <c r="AD34" s="1"/>
      <c r="AE34" s="1"/>
    </row>
    <row r="35" spans="2:31">
      <c r="B35" s="116">
        <v>44993</v>
      </c>
      <c r="C35" s="14" t="str">
        <f t="shared" si="0"/>
        <v/>
      </c>
      <c r="D35" s="87">
        <f>-821+851</f>
        <v>30</v>
      </c>
      <c r="E35" s="87">
        <v>20</v>
      </c>
      <c r="F35" s="23">
        <v>-4148312</v>
      </c>
      <c r="G35" s="26">
        <f>D35+E35+F35-E34-F34</f>
        <v>-2952</v>
      </c>
      <c r="H35" s="132">
        <v>300</v>
      </c>
      <c r="I35" s="25">
        <v>7000</v>
      </c>
      <c r="J35" s="25">
        <v>100</v>
      </c>
      <c r="K35" s="170">
        <f t="shared" si="8"/>
        <v>7400</v>
      </c>
      <c r="L35" s="171">
        <v>40</v>
      </c>
      <c r="M35" s="153"/>
      <c r="N35" s="149">
        <f t="shared" si="9"/>
        <v>4488</v>
      </c>
      <c r="O35" s="67">
        <f t="shared" si="2"/>
        <v>15094.070689655358</v>
      </c>
      <c r="P35" s="7">
        <f t="shared" si="5"/>
        <v>437728.0500000054</v>
      </c>
      <c r="Q35" s="164">
        <f>Q34+N35+1</f>
        <v>175635.45000000019</v>
      </c>
      <c r="R35" s="29">
        <f t="shared" si="3"/>
        <v>109.1686431380698</v>
      </c>
      <c r="S35" s="5">
        <f>SUM($Q$7:$Q35)/T35+1</f>
        <v>179733.07068965535</v>
      </c>
      <c r="T35" s="18">
        <v>29</v>
      </c>
      <c r="U35" s="4"/>
      <c r="V35" s="131"/>
      <c r="W35" s="105">
        <v>-3102141</v>
      </c>
      <c r="X35" s="167"/>
      <c r="Y35" s="156">
        <f>Y34-K35-L35-1</f>
        <v>-3102141</v>
      </c>
      <c r="Z35" s="217"/>
      <c r="AA35" s="92"/>
      <c r="AD35" s="1"/>
      <c r="AE35" s="1"/>
    </row>
    <row r="36" spans="2:31">
      <c r="B36" s="116">
        <v>44994</v>
      </c>
      <c r="C36" s="14" t="str">
        <f t="shared" si="0"/>
        <v/>
      </c>
      <c r="D36" s="87"/>
      <c r="E36" s="87">
        <v>0</v>
      </c>
      <c r="F36" s="23">
        <v>-4164791</v>
      </c>
      <c r="G36" s="26">
        <f>D36+E36+F36-E35-F35</f>
        <v>-16499</v>
      </c>
      <c r="H36" s="132">
        <v>300</v>
      </c>
      <c r="I36" s="25">
        <v>13200</v>
      </c>
      <c r="J36" s="25">
        <v>100</v>
      </c>
      <c r="K36" s="170">
        <f t="shared" si="8"/>
        <v>13600</v>
      </c>
      <c r="L36" s="171">
        <v>12</v>
      </c>
      <c r="M36" s="153"/>
      <c r="N36" s="149">
        <f t="shared" si="9"/>
        <v>-2887</v>
      </c>
      <c r="O36" s="67">
        <f t="shared" si="2"/>
        <v>14861.150000000187</v>
      </c>
      <c r="P36" s="7">
        <f t="shared" si="5"/>
        <v>445834.50000000559</v>
      </c>
      <c r="Q36" s="164">
        <f>Q35+N36-4</f>
        <v>172744.45000000019</v>
      </c>
      <c r="R36" s="29">
        <f t="shared" si="3"/>
        <v>109.02656130419477</v>
      </c>
      <c r="S36" s="5">
        <f>SUM($Q$7:$Q36)/T36</f>
        <v>179499.1500000002</v>
      </c>
      <c r="T36" s="18">
        <v>30</v>
      </c>
      <c r="U36" s="4"/>
      <c r="V36" s="136"/>
      <c r="W36" s="105">
        <v>-3115750</v>
      </c>
      <c r="X36" s="167"/>
      <c r="Y36" s="156">
        <f>Y35-K36-L36+3</f>
        <v>-3115750</v>
      </c>
      <c r="Z36" s="217"/>
      <c r="AD36" s="1"/>
      <c r="AE36" s="1"/>
    </row>
    <row r="37" spans="2:31">
      <c r="B37" s="116">
        <v>44995</v>
      </c>
      <c r="C37" s="14"/>
      <c r="D37" s="87"/>
      <c r="E37" s="87">
        <v>0</v>
      </c>
      <c r="F37" s="23">
        <v>-4158318</v>
      </c>
      <c r="G37" s="26">
        <f>D37+E37+F37-E36-F36</f>
        <v>6473</v>
      </c>
      <c r="H37" s="132">
        <v>300</v>
      </c>
      <c r="I37" s="25">
        <v>-2700</v>
      </c>
      <c r="J37" s="25">
        <v>100</v>
      </c>
      <c r="K37" s="170">
        <f t="shared" si="8"/>
        <v>-2300</v>
      </c>
      <c r="L37" s="171">
        <v>6</v>
      </c>
      <c r="M37" s="153"/>
      <c r="N37" s="149">
        <f t="shared" si="9"/>
        <v>4179</v>
      </c>
      <c r="O37" s="67">
        <f t="shared" si="2"/>
        <v>14778.030645161476</v>
      </c>
      <c r="P37" s="7">
        <f t="shared" si="5"/>
        <v>458118.95000000577</v>
      </c>
      <c r="Q37" s="164">
        <f>Q36+N37-1</f>
        <v>176922.45000000019</v>
      </c>
      <c r="R37" s="29">
        <f t="shared" si="3"/>
        <v>108.97668256730614</v>
      </c>
      <c r="S37" s="5">
        <f>SUM($Q$7:$Q37)/T37+1</f>
        <v>179417.03064516149</v>
      </c>
      <c r="T37" s="18">
        <v>31</v>
      </c>
      <c r="U37" s="27"/>
      <c r="V37" s="137"/>
      <c r="W37" s="105">
        <v>-3113454</v>
      </c>
      <c r="X37" s="167"/>
      <c r="Y37" s="156">
        <f>Y36-K37-L37+2</f>
        <v>-3113454</v>
      </c>
      <c r="Z37" s="217"/>
      <c r="AA37" s="92"/>
      <c r="AD37" s="1"/>
      <c r="AE37" s="1"/>
    </row>
    <row r="38" spans="2:31">
      <c r="B38" s="116">
        <v>44996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14700.106250000186</v>
      </c>
      <c r="P38" s="7">
        <f t="shared" si="5"/>
        <v>470403.40000000596</v>
      </c>
      <c r="Q38" s="164">
        <f t="shared" si="11"/>
        <v>176922.45000000019</v>
      </c>
      <c r="R38" s="29">
        <f t="shared" si="3"/>
        <v>108.9287444271676</v>
      </c>
      <c r="S38" s="5">
        <f>SUM($Q$7:$Q38)/T38</f>
        <v>179338.10625000019</v>
      </c>
      <c r="T38" s="18">
        <v>32</v>
      </c>
      <c r="U38" s="27"/>
      <c r="V38" s="137"/>
      <c r="W38" s="105">
        <v>-3113454</v>
      </c>
      <c r="X38" s="167"/>
      <c r="Y38" s="156">
        <f t="shared" si="7"/>
        <v>-3113454</v>
      </c>
      <c r="Z38" s="217"/>
      <c r="AD38" s="1"/>
      <c r="AE38" s="1"/>
    </row>
    <row r="39" spans="2:31">
      <c r="B39" s="116">
        <v>44997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14626.904545454732</v>
      </c>
      <c r="P39" s="7">
        <f t="shared" si="5"/>
        <v>482687.85000000615</v>
      </c>
      <c r="Q39" s="164">
        <f t="shared" si="11"/>
        <v>176922.45000000019</v>
      </c>
      <c r="R39" s="29">
        <f t="shared" si="3"/>
        <v>108.88549699671688</v>
      </c>
      <c r="S39" s="5">
        <f>SUM($Q$7:$Q39)/T39+2</f>
        <v>179266.90454545474</v>
      </c>
      <c r="T39" s="18">
        <v>33</v>
      </c>
      <c r="U39" s="27"/>
      <c r="V39" s="137"/>
      <c r="W39" s="105">
        <v>-3113454</v>
      </c>
      <c r="X39" s="167"/>
      <c r="Y39" s="156">
        <f t="shared" si="7"/>
        <v>-3113454</v>
      </c>
      <c r="Z39" s="217"/>
      <c r="AD39" s="1"/>
      <c r="AE39" s="1"/>
    </row>
    <row r="40" spans="2:31">
      <c r="B40" s="116">
        <v>44998</v>
      </c>
      <c r="C40" s="14"/>
      <c r="D40" s="87"/>
      <c r="E40" s="87">
        <v>0</v>
      </c>
      <c r="F40" s="23">
        <v>-4133928</v>
      </c>
      <c r="G40" s="26">
        <f>D40+E40+F40-E37-F37</f>
        <v>24390</v>
      </c>
      <c r="H40" s="132">
        <v>300</v>
      </c>
      <c r="I40" s="25">
        <v>-13600</v>
      </c>
      <c r="J40" s="25">
        <v>-200</v>
      </c>
      <c r="K40" s="170">
        <f t="shared" si="8"/>
        <v>-13500</v>
      </c>
      <c r="L40" s="171">
        <v>-11</v>
      </c>
      <c r="M40" s="153"/>
      <c r="N40" s="149">
        <f t="shared" si="9"/>
        <v>10879</v>
      </c>
      <c r="O40" s="67">
        <f t="shared" si="2"/>
        <v>14877.92058823548</v>
      </c>
      <c r="P40" s="7">
        <f t="shared" si="5"/>
        <v>505849.30000000633</v>
      </c>
      <c r="Q40" s="164">
        <f>Q39+N40-2</f>
        <v>187799.45000000019</v>
      </c>
      <c r="R40" s="29">
        <f t="shared" si="3"/>
        <v>109.03735503846954</v>
      </c>
      <c r="S40" s="5">
        <f>SUM($Q$7:$Q40)/T40+1</f>
        <v>179516.92058823549</v>
      </c>
      <c r="T40" s="18">
        <v>34</v>
      </c>
      <c r="U40" s="138">
        <f>B40</f>
        <v>44998</v>
      </c>
      <c r="V40" s="131">
        <v>1871.7</v>
      </c>
      <c r="W40" s="105">
        <v>-3099942</v>
      </c>
      <c r="X40" s="167">
        <f>AVERAGE(W40:W48)</f>
        <v>-3006816.888888889</v>
      </c>
      <c r="Y40" s="156">
        <f>Y39-K40-L40+1</f>
        <v>-3099942</v>
      </c>
      <c r="Z40" s="217">
        <f>AVERAGE(Y40:Y48)</f>
        <v>-3006816.888888889</v>
      </c>
      <c r="AD40" s="1"/>
      <c r="AE40" s="1"/>
    </row>
    <row r="41" spans="2:31">
      <c r="B41" s="116">
        <v>44999</v>
      </c>
      <c r="C41" s="14" t="str">
        <f t="shared" si="0"/>
        <v/>
      </c>
      <c r="D41" s="87"/>
      <c r="E41" s="87">
        <v>0</v>
      </c>
      <c r="F41" s="23">
        <v>-4109402</v>
      </c>
      <c r="G41" s="26">
        <f>D41+E41+F41-E40-F40</f>
        <v>24526</v>
      </c>
      <c r="H41" s="132">
        <v>300</v>
      </c>
      <c r="I41" s="25">
        <v>-20400</v>
      </c>
      <c r="J41" s="25">
        <v>-200</v>
      </c>
      <c r="K41" s="170">
        <f t="shared" si="8"/>
        <v>-20300</v>
      </c>
      <c r="L41" s="171">
        <v>-26</v>
      </c>
      <c r="M41" s="153"/>
      <c r="N41" s="149">
        <f t="shared" si="9"/>
        <v>4200</v>
      </c>
      <c r="O41" s="67">
        <f t="shared" si="2"/>
        <v>15234.592857143043</v>
      </c>
      <c r="P41" s="7">
        <f t="shared" si="5"/>
        <v>533210.75000000652</v>
      </c>
      <c r="Q41" s="164">
        <f>Q40+N41</f>
        <v>191999.45000000019</v>
      </c>
      <c r="R41" s="29">
        <f t="shared" si="3"/>
        <v>109.25399534563287</v>
      </c>
      <c r="S41" s="5">
        <f>SUM($Q$7:$Q41)/T41+1</f>
        <v>179873.59285714306</v>
      </c>
      <c r="T41" s="18">
        <v>35</v>
      </c>
      <c r="U41" s="138">
        <f>B40+8</f>
        <v>45006</v>
      </c>
      <c r="V41" s="137"/>
      <c r="W41" s="105">
        <v>-3079615</v>
      </c>
      <c r="X41" s="167"/>
      <c r="Y41" s="156">
        <f>Y40-K41-L41+1</f>
        <v>-3079615</v>
      </c>
      <c r="Z41" s="217"/>
      <c r="AD41" s="1"/>
      <c r="AE41" s="1"/>
    </row>
    <row r="42" spans="2:31">
      <c r="B42" s="116">
        <v>45000</v>
      </c>
      <c r="C42" s="14" t="str">
        <f t="shared" si="0"/>
        <v/>
      </c>
      <c r="D42" s="87">
        <f>-851+977</f>
        <v>126</v>
      </c>
      <c r="E42" s="87">
        <v>6</v>
      </c>
      <c r="F42" s="23">
        <v>-4030657</v>
      </c>
      <c r="G42" s="26">
        <f>D42+E42+F42-E41-F41</f>
        <v>78877</v>
      </c>
      <c r="H42" s="132">
        <v>300</v>
      </c>
      <c r="I42" s="25">
        <v>-37200</v>
      </c>
      <c r="J42" s="25">
        <v>-200</v>
      </c>
      <c r="K42" s="170">
        <f t="shared" si="8"/>
        <v>-37100</v>
      </c>
      <c r="L42" s="171">
        <v>55</v>
      </c>
      <c r="M42" s="153"/>
      <c r="N42" s="149">
        <f t="shared" si="9"/>
        <v>41832</v>
      </c>
      <c r="O42" s="67">
        <f t="shared" si="2"/>
        <v>16733.394444444632</v>
      </c>
      <c r="P42" s="7">
        <f t="shared" si="5"/>
        <v>602402.20000000671</v>
      </c>
      <c r="Q42" s="164">
        <f>Q41+N42-2</f>
        <v>233829.45000000019</v>
      </c>
      <c r="R42" s="29">
        <f t="shared" si="3"/>
        <v>110.16314243640267</v>
      </c>
      <c r="S42" s="5">
        <f>SUM($Q$7:$Q42)/T42-1</f>
        <v>181370.39444444462</v>
      </c>
      <c r="T42" s="18">
        <v>36</v>
      </c>
      <c r="U42" s="138"/>
      <c r="V42" s="137"/>
      <c r="W42" s="105">
        <v>-3042569</v>
      </c>
      <c r="X42" s="167"/>
      <c r="Y42" s="156">
        <f t="shared" ref="Y42:Y47" si="12">Y41-K42-L42+1</f>
        <v>-3042569</v>
      </c>
      <c r="Z42" s="217"/>
      <c r="AD42" s="1"/>
      <c r="AE42" s="1"/>
    </row>
    <row r="43" spans="2:31">
      <c r="B43" s="116">
        <v>45001</v>
      </c>
      <c r="C43" s="14" t="str">
        <f t="shared" si="0"/>
        <v/>
      </c>
      <c r="D43" s="87"/>
      <c r="E43" s="87">
        <v>26</v>
      </c>
      <c r="F43" s="23">
        <v>-3985739</v>
      </c>
      <c r="G43" s="26">
        <f>D43+E43+F43-E42-F42</f>
        <v>44938</v>
      </c>
      <c r="H43" s="132">
        <v>2800</v>
      </c>
      <c r="I43" s="25">
        <v>-37700</v>
      </c>
      <c r="J43" s="25">
        <v>-200</v>
      </c>
      <c r="K43" s="170">
        <f t="shared" si="8"/>
        <v>-35100</v>
      </c>
      <c r="L43" s="171">
        <v>-36</v>
      </c>
      <c r="M43" s="153"/>
      <c r="N43" s="149">
        <f t="shared" si="9"/>
        <v>9802</v>
      </c>
      <c r="O43" s="67">
        <f t="shared" si="2"/>
        <v>18416.044594594779</v>
      </c>
      <c r="P43" s="7">
        <f t="shared" si="5"/>
        <v>681393.65000000689</v>
      </c>
      <c r="Q43" s="164">
        <f>Q42+N43-2</f>
        <v>243629.45000000019</v>
      </c>
      <c r="R43" s="29">
        <f t="shared" si="3"/>
        <v>111.12868511193939</v>
      </c>
      <c r="S43" s="5">
        <f>SUM($Q$7:$Q43)/T43-94</f>
        <v>182960.04459459477</v>
      </c>
      <c r="T43" s="18">
        <v>37</v>
      </c>
      <c r="U43" s="138"/>
      <c r="V43" s="137"/>
      <c r="W43" s="105">
        <v>-3007435</v>
      </c>
      <c r="X43" s="167"/>
      <c r="Y43" s="156">
        <f>Y42-K43-L43-2</f>
        <v>-3007435</v>
      </c>
      <c r="Z43" s="217"/>
      <c r="AD43" s="1"/>
      <c r="AE43" s="1"/>
    </row>
    <row r="44" spans="2:31">
      <c r="B44" s="116">
        <v>45002</v>
      </c>
      <c r="C44" s="14" t="str">
        <f t="shared" si="0"/>
        <v/>
      </c>
      <c r="D44" s="87"/>
      <c r="E44" s="87">
        <v>15</v>
      </c>
      <c r="F44" s="23">
        <v>-3939795</v>
      </c>
      <c r="G44" s="26">
        <f>D44+E44+F44-E43-F43</f>
        <v>45933</v>
      </c>
      <c r="H44" s="132">
        <v>-200</v>
      </c>
      <c r="I44" s="25">
        <v>-54200</v>
      </c>
      <c r="J44" s="25">
        <v>-300</v>
      </c>
      <c r="K44" s="170">
        <f t="shared" si="8"/>
        <v>-54700</v>
      </c>
      <c r="L44" s="171">
        <v>26</v>
      </c>
      <c r="M44" s="153"/>
      <c r="N44" s="149">
        <f t="shared" si="9"/>
        <v>-8741</v>
      </c>
      <c r="O44" s="67">
        <f t="shared" si="2"/>
        <v>19780.213157894923</v>
      </c>
      <c r="P44" s="7">
        <f t="shared" si="5"/>
        <v>751648.10000000708</v>
      </c>
      <c r="Q44" s="164">
        <f>Q43+N44+4</f>
        <v>234892.45000000019</v>
      </c>
      <c r="R44" s="29">
        <f t="shared" si="3"/>
        <v>112.0149741602151</v>
      </c>
      <c r="S44" s="5">
        <f>SUM($Q$7:$Q44)/T44+1</f>
        <v>184419.21315789493</v>
      </c>
      <c r="T44" s="18">
        <v>38</v>
      </c>
      <c r="U44" s="138"/>
      <c r="V44" s="137"/>
      <c r="W44" s="105">
        <v>-2952760</v>
      </c>
      <c r="X44" s="167"/>
      <c r="Y44" s="156">
        <f>Y43-K44-L44+1</f>
        <v>-2952760</v>
      </c>
      <c r="Z44" s="217"/>
      <c r="AD44" s="1"/>
      <c r="AE44" s="1"/>
    </row>
    <row r="45" spans="2:31">
      <c r="B45" s="116">
        <v>45003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21074.424358974546</v>
      </c>
      <c r="P45" s="7">
        <f t="shared" si="5"/>
        <v>821902.55000000726</v>
      </c>
      <c r="Q45" s="164">
        <f t="shared" ref="Q45:Q46" si="13">Q44+N45</f>
        <v>234892.45000000019</v>
      </c>
      <c r="R45" s="29">
        <f t="shared" si="3"/>
        <v>112.80106923005293</v>
      </c>
      <c r="S45" s="5">
        <f>SUM($Q$7:$Q45)/T45+1</f>
        <v>185713.42435897453</v>
      </c>
      <c r="T45" s="18">
        <v>39</v>
      </c>
      <c r="U45" s="138"/>
      <c r="V45" s="137"/>
      <c r="W45" s="105">
        <v>-2952760</v>
      </c>
      <c r="X45" s="167"/>
      <c r="Y45" s="156">
        <f>Y44-K45-L45</f>
        <v>-2952760</v>
      </c>
      <c r="Z45" s="217"/>
      <c r="AD45" s="1"/>
      <c r="AE45" s="1"/>
    </row>
    <row r="46" spans="2:31">
      <c r="B46" s="116">
        <v>45004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22303.925000000185</v>
      </c>
      <c r="P46" s="7">
        <f t="shared" si="5"/>
        <v>892157.00000000745</v>
      </c>
      <c r="Q46" s="164">
        <f t="shared" si="13"/>
        <v>234892.45000000019</v>
      </c>
      <c r="R46" s="29">
        <f t="shared" si="3"/>
        <v>113.54785954639888</v>
      </c>
      <c r="S46" s="5">
        <f>SUM($Q$7:$Q46)/T46+1</f>
        <v>186942.92500000019</v>
      </c>
      <c r="T46" s="18">
        <v>40</v>
      </c>
      <c r="U46" s="138"/>
      <c r="V46" s="137"/>
      <c r="W46" s="105">
        <v>-2952760</v>
      </c>
      <c r="X46" s="167"/>
      <c r="Y46" s="156">
        <f>Y45-K46-L46</f>
        <v>-2952760</v>
      </c>
      <c r="Z46" s="217"/>
      <c r="AD46" s="1"/>
      <c r="AE46" s="1"/>
    </row>
    <row r="47" spans="2:31">
      <c r="B47" s="116">
        <v>45005</v>
      </c>
      <c r="C47" s="14" t="str">
        <f t="shared" si="0"/>
        <v/>
      </c>
      <c r="D47" s="87"/>
      <c r="E47" s="87">
        <v>87</v>
      </c>
      <c r="F47" s="23">
        <v>-3882633</v>
      </c>
      <c r="G47" s="26">
        <f>D47+E47+F47-E44-F44</f>
        <v>57234</v>
      </c>
      <c r="H47" s="132">
        <v>-14500</v>
      </c>
      <c r="I47" s="25">
        <v>56200</v>
      </c>
      <c r="J47" s="25">
        <v>300</v>
      </c>
      <c r="K47" s="170">
        <f t="shared" si="8"/>
        <v>42000</v>
      </c>
      <c r="L47" s="171">
        <v>43</v>
      </c>
      <c r="M47" s="153"/>
      <c r="N47" s="149">
        <f t="shared" si="9"/>
        <v>99277</v>
      </c>
      <c r="O47" s="67">
        <f t="shared" si="2"/>
        <v>25894.815853658722</v>
      </c>
      <c r="P47" s="7">
        <f t="shared" si="5"/>
        <v>1061687.4500000076</v>
      </c>
      <c r="Q47" s="164">
        <f>Q46+N47-1</f>
        <v>334168.45000000019</v>
      </c>
      <c r="R47" s="29">
        <f t="shared" si="3"/>
        <v>124.51366990224535</v>
      </c>
      <c r="S47" s="5">
        <f>SUM($Q$7:$Q47)/T47+1+14465-2</f>
        <v>204996.81585365871</v>
      </c>
      <c r="T47" s="18">
        <v>41</v>
      </c>
      <c r="U47" s="138"/>
      <c r="V47" s="137"/>
      <c r="W47" s="105">
        <v>-2994802</v>
      </c>
      <c r="X47" s="167"/>
      <c r="Y47" s="156">
        <f t="shared" si="12"/>
        <v>-2994802</v>
      </c>
      <c r="Z47" s="217"/>
      <c r="AD47" s="1"/>
      <c r="AE47" s="1"/>
    </row>
    <row r="48" spans="2:31">
      <c r="B48" s="116">
        <v>45006</v>
      </c>
      <c r="C48" s="14" t="str">
        <f t="shared" si="0"/>
        <v/>
      </c>
      <c r="D48" s="87"/>
      <c r="E48" s="87">
        <v>192</v>
      </c>
      <c r="F48" s="23">
        <v>-3990905</v>
      </c>
      <c r="G48" s="26">
        <f>D48+E48+F48-E47-F47</f>
        <v>-108167</v>
      </c>
      <c r="H48" s="132">
        <v>-10500</v>
      </c>
      <c r="I48" s="25">
        <v>-5800</v>
      </c>
      <c r="J48" s="25">
        <v>200</v>
      </c>
      <c r="K48" s="170">
        <f t="shared" si="8"/>
        <v>-16100</v>
      </c>
      <c r="L48" s="171">
        <v>9</v>
      </c>
      <c r="M48" s="153"/>
      <c r="N48" s="149">
        <f t="shared" si="9"/>
        <v>-124258</v>
      </c>
      <c r="O48" s="67">
        <f t="shared" si="2"/>
        <v>26356.140476190663</v>
      </c>
      <c r="P48" s="7">
        <f t="shared" si="5"/>
        <v>1106957.9000000078</v>
      </c>
      <c r="Q48" s="164">
        <f>Q47+N48-2</f>
        <v>209908.45000000019</v>
      </c>
      <c r="R48" s="29">
        <f t="shared" si="3"/>
        <v>116.05348733353821</v>
      </c>
      <c r="S48" s="5">
        <f>SUM($Q$7:$Q48)/T48+74</f>
        <v>191068.14047619066</v>
      </c>
      <c r="T48" s="18">
        <v>42</v>
      </c>
      <c r="U48" s="138"/>
      <c r="V48" s="137"/>
      <c r="W48" s="105">
        <v>-2978709</v>
      </c>
      <c r="X48" s="167"/>
      <c r="Y48" s="156">
        <f>Y47-K48-L48+2</f>
        <v>-2978709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'JAN 2023'!Q55</f>
        <v>184946.45000000019</v>
      </c>
    </row>
    <row r="53" spans="4:7">
      <c r="D53" s="138" t="s">
        <v>4</v>
      </c>
      <c r="E53" s="139"/>
      <c r="F53" s="143"/>
      <c r="G53" s="91">
        <f>'JAN 2023'!E55</f>
        <v>39</v>
      </c>
    </row>
    <row r="54" spans="4:7">
      <c r="D54" s="138" t="s">
        <v>60</v>
      </c>
      <c r="E54" s="144"/>
      <c r="F54" s="143"/>
      <c r="G54" s="91">
        <f>'JAN 2023'!F55</f>
        <v>-4093278</v>
      </c>
    </row>
    <row r="55" spans="4:7" ht="12.75" thickBot="1">
      <c r="D55" s="140" t="s">
        <v>46</v>
      </c>
      <c r="E55" s="145"/>
      <c r="F55" s="146"/>
      <c r="G55" s="158">
        <f>'JAN 2023'!Y55</f>
        <v>-3019451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BAA7-2A80-4A58-8E84-33D321E914B1}">
  <sheetPr codeName="Sheet39">
    <pageSetUpPr fitToPage="1"/>
  </sheetPr>
  <dimension ref="B1:IU65513"/>
  <sheetViews>
    <sheetView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H27" sqref="H2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165827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45007</v>
      </c>
      <c r="C7" s="196" t="str">
        <f t="shared" ref="C7:C48" si="0">IF(OR(WEEKDAY(B7)=1,WEEKDAY(B7)=7),"F","")</f>
        <v/>
      </c>
      <c r="D7" s="197">
        <f>-977+974</f>
        <v>-3</v>
      </c>
      <c r="E7" s="197">
        <v>71</v>
      </c>
      <c r="F7" s="198">
        <v>-3855896</v>
      </c>
      <c r="G7" s="199">
        <f>D7+E7+F7-G60-G61</f>
        <v>134885</v>
      </c>
      <c r="H7" s="132">
        <v>300</v>
      </c>
      <c r="I7" s="63">
        <v>15100</v>
      </c>
      <c r="J7" s="63">
        <v>200</v>
      </c>
      <c r="K7" s="170">
        <f t="shared" ref="K7:K9" si="1">+H7+I7+J7</f>
        <v>15600</v>
      </c>
      <c r="L7" s="169">
        <v>-37</v>
      </c>
      <c r="M7" s="203"/>
      <c r="N7" s="204">
        <f>L7+K7+G7+M7</f>
        <v>150448</v>
      </c>
      <c r="O7" s="205">
        <f t="shared" ref="O7:O48" si="2">P7/T7</f>
        <v>194529.45000000019</v>
      </c>
      <c r="P7" s="206">
        <f>(+$Q7-$Q$3)</f>
        <v>194529.45000000019</v>
      </c>
      <c r="Q7" s="207">
        <f>G59+N7</f>
        <v>360356.45000000019</v>
      </c>
      <c r="R7" s="208">
        <f t="shared" ref="R7:R55" si="3">$S7/$Q$3*100</f>
        <v>217.30867108492595</v>
      </c>
      <c r="S7" s="209">
        <f>$Q7</f>
        <v>360356.45000000019</v>
      </c>
      <c r="T7" s="210">
        <v>1</v>
      </c>
      <c r="U7" s="211">
        <f>B7</f>
        <v>45007</v>
      </c>
      <c r="V7" s="212">
        <v>1965.5</v>
      </c>
      <c r="W7" s="213">
        <v>-2994272</v>
      </c>
      <c r="X7" s="214">
        <f>AVERAGE(W7:W11)</f>
        <v>-3000778.6</v>
      </c>
      <c r="Y7" s="215">
        <f>G62-K7-L7</f>
        <v>-2994272</v>
      </c>
      <c r="Z7" s="216">
        <f>AVERAGE(Y7:Y13)</f>
        <v>-2993815</v>
      </c>
      <c r="AA7" s="92"/>
    </row>
    <row r="8" spans="2:255">
      <c r="B8" s="116">
        <v>45008</v>
      </c>
      <c r="C8" s="14"/>
      <c r="D8" s="87"/>
      <c r="E8" s="128">
        <v>67</v>
      </c>
      <c r="F8" s="162">
        <v>-4009578</v>
      </c>
      <c r="G8" s="26">
        <f>D8+E8+F8-E7-F7</f>
        <v>-153686</v>
      </c>
      <c r="H8" s="132">
        <v>1600</v>
      </c>
      <c r="I8" s="63">
        <v>13700</v>
      </c>
      <c r="J8" s="63">
        <v>200</v>
      </c>
      <c r="K8" s="170">
        <f t="shared" si="1"/>
        <v>15500</v>
      </c>
      <c r="L8" s="171">
        <v>21</v>
      </c>
      <c r="M8" s="153"/>
      <c r="N8" s="149">
        <f>L8+K8+G8+M8</f>
        <v>-138165</v>
      </c>
      <c r="O8" s="67">
        <f t="shared" si="2"/>
        <v>124688.45000000019</v>
      </c>
      <c r="P8" s="163">
        <f>(IF($Q8&lt;0,-$Q$3+P7,($Q8-$Q$3)+P7))</f>
        <v>249376.90000000037</v>
      </c>
      <c r="Q8" s="164">
        <f>Q7+N8-1517</f>
        <v>220674.45000000019</v>
      </c>
      <c r="R8" s="29">
        <f t="shared" si="3"/>
        <v>175.19188672532229</v>
      </c>
      <c r="S8" s="165">
        <f>SUM($Q$7:$Q8)/T8</f>
        <v>290515.45000000019</v>
      </c>
      <c r="T8" s="166">
        <v>2</v>
      </c>
      <c r="U8" s="138">
        <f>B7+6</f>
        <v>45013</v>
      </c>
      <c r="V8" s="131"/>
      <c r="W8" s="105">
        <v>-3008277</v>
      </c>
      <c r="X8" s="167"/>
      <c r="Y8" s="156">
        <f>Y7-K8-L8+1516</f>
        <v>-3008277</v>
      </c>
      <c r="Z8" s="217"/>
      <c r="AA8" s="92"/>
    </row>
    <row r="9" spans="2:255">
      <c r="B9" s="116">
        <v>45009</v>
      </c>
      <c r="C9" s="14" t="str">
        <f t="shared" si="0"/>
        <v/>
      </c>
      <c r="D9" s="87"/>
      <c r="E9" s="87">
        <v>57</v>
      </c>
      <c r="F9" s="23">
        <v>-4047506</v>
      </c>
      <c r="G9" s="26">
        <f>D9+E9+F9-E8-F8</f>
        <v>-37938</v>
      </c>
      <c r="H9" s="132">
        <v>300</v>
      </c>
      <c r="I9" s="63">
        <v>-8300</v>
      </c>
      <c r="J9" s="63">
        <v>200</v>
      </c>
      <c r="K9" s="170">
        <f t="shared" si="1"/>
        <v>-7800</v>
      </c>
      <c r="L9" s="171">
        <v>-28</v>
      </c>
      <c r="M9" s="153"/>
      <c r="N9" s="149">
        <f>L9+K9+G9+M9</f>
        <v>-45766</v>
      </c>
      <c r="O9" s="67">
        <f t="shared" si="2"/>
        <v>86152.783333333515</v>
      </c>
      <c r="P9" s="163">
        <f t="shared" ref="P9" si="4">(IF($Q9&lt;0,-$Q$3+P8,($Q9-$Q$3)+P8))</f>
        <v>258458.35000000056</v>
      </c>
      <c r="Q9" s="164">
        <f>Q8+N9</f>
        <v>174908.45000000019</v>
      </c>
      <c r="R9" s="29">
        <f t="shared" si="3"/>
        <v>151.95401432416526</v>
      </c>
      <c r="S9" s="5">
        <f>SUM($Q$7:$Q9)/T9+1</f>
        <v>251980.78333333353</v>
      </c>
      <c r="T9" s="17">
        <v>3</v>
      </c>
      <c r="U9" s="4"/>
      <c r="V9" s="131"/>
      <c r="W9" s="105">
        <v>-3000448</v>
      </c>
      <c r="X9" s="167"/>
      <c r="Y9" s="156">
        <f>Y8-K9-L9+1</f>
        <v>-3000448</v>
      </c>
      <c r="Z9" s="217"/>
      <c r="AA9" s="92"/>
    </row>
    <row r="10" spans="2:255">
      <c r="B10" s="116">
        <v>45010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66884.950000000186</v>
      </c>
      <c r="P10" s="163">
        <f>(IF($Q10&lt;0,-$Q$3+P9,($Q10-$Q$3)+P9))</f>
        <v>267539.80000000075</v>
      </c>
      <c r="Q10" s="164">
        <f>Q9+N10</f>
        <v>174908.45000000019</v>
      </c>
      <c r="R10" s="29">
        <f t="shared" si="3"/>
        <v>140.33357052832181</v>
      </c>
      <c r="S10" s="5">
        <f>SUM($Q$7:$Q10)/T10-1</f>
        <v>232710.95000000019</v>
      </c>
      <c r="T10" s="17">
        <v>4</v>
      </c>
      <c r="U10" s="4"/>
      <c r="V10" s="131"/>
      <c r="W10" s="105">
        <v>-3000448</v>
      </c>
      <c r="X10" s="167"/>
      <c r="Y10" s="156">
        <f>Y9-K10-L10</f>
        <v>-3000448</v>
      </c>
      <c r="Z10" s="217"/>
      <c r="AA10" s="92"/>
    </row>
    <row r="11" spans="2:255">
      <c r="B11" s="116">
        <v>45011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55324.250000000189</v>
      </c>
      <c r="P11" s="163">
        <f t="shared" ref="P11:P55" si="5">(IF($Q11&lt;0,-$Q$3+P10,($Q11-$Q$3)+P10))</f>
        <v>276621.25000000093</v>
      </c>
      <c r="Q11" s="164">
        <f t="shared" ref="Q11:Q18" si="6">Q10+N11</f>
        <v>174908.45000000019</v>
      </c>
      <c r="R11" s="29">
        <f t="shared" si="3"/>
        <v>133.36202789654288</v>
      </c>
      <c r="S11" s="5">
        <f>SUM($Q$7:$Q11)/T11-1</f>
        <v>221150.25000000017</v>
      </c>
      <c r="T11" s="17">
        <v>5</v>
      </c>
      <c r="U11" s="27"/>
      <c r="V11" s="134"/>
      <c r="W11" s="105">
        <v>-3000448</v>
      </c>
      <c r="X11" s="167"/>
      <c r="Y11" s="156">
        <f t="shared" ref="Y11:Y39" si="7">Y10-K11-L11</f>
        <v>-3000448</v>
      </c>
      <c r="Z11" s="217"/>
      <c r="AA11" s="92"/>
    </row>
    <row r="12" spans="2:255">
      <c r="B12" s="116">
        <v>45012</v>
      </c>
      <c r="C12" s="14"/>
      <c r="D12" s="87"/>
      <c r="E12" s="87">
        <v>79</v>
      </c>
      <c r="F12" s="23">
        <v>-4017427</v>
      </c>
      <c r="G12" s="26">
        <f>D12+E12+F12-E9-F9</f>
        <v>30101</v>
      </c>
      <c r="H12" s="132">
        <v>300</v>
      </c>
      <c r="I12" s="63">
        <v>-19100</v>
      </c>
      <c r="J12" s="63">
        <v>-600</v>
      </c>
      <c r="K12" s="170">
        <f t="shared" ref="K12:K48" si="8">+H12+I12+J12</f>
        <v>-19400</v>
      </c>
      <c r="L12" s="171">
        <v>1</v>
      </c>
      <c r="M12" s="153"/>
      <c r="N12" s="149">
        <f t="shared" ref="N12:N48" si="9">L12+K12+G12+M12</f>
        <v>10702</v>
      </c>
      <c r="O12" s="67">
        <f t="shared" si="2"/>
        <v>49400.783333333522</v>
      </c>
      <c r="P12" s="163">
        <f t="shared" si="5"/>
        <v>296404.70000000112</v>
      </c>
      <c r="Q12" s="164">
        <f>Q11+N12</f>
        <v>185610.45000000019</v>
      </c>
      <c r="R12" s="29">
        <f t="shared" si="3"/>
        <v>129.79055481515888</v>
      </c>
      <c r="S12" s="5">
        <f>SUM($Q$7:$Q12)/T12</f>
        <v>215227.78333333353</v>
      </c>
      <c r="T12" s="17">
        <v>6</v>
      </c>
      <c r="U12" s="138">
        <v>44917</v>
      </c>
      <c r="V12" s="310">
        <v>1921.5</v>
      </c>
      <c r="W12" s="105">
        <v>-2981049</v>
      </c>
      <c r="X12" s="167">
        <f>AVERAGE(W12:W20)</f>
        <v>-2975526.4444444445</v>
      </c>
      <c r="Y12" s="156">
        <f>Y11-K12-L12</f>
        <v>-2981049</v>
      </c>
      <c r="Z12" s="217">
        <f>AVERAGE(Y12:Y20)</f>
        <v>-2975526.4444444445</v>
      </c>
      <c r="AA12" s="92"/>
    </row>
    <row r="13" spans="2:255">
      <c r="B13" s="116">
        <v>45013</v>
      </c>
      <c r="C13" s="14"/>
      <c r="D13" s="87"/>
      <c r="E13" s="87">
        <v>60</v>
      </c>
      <c r="F13" s="23">
        <v>-4007528</v>
      </c>
      <c r="G13" s="26">
        <f>D13+E13+F13-E12-F12</f>
        <v>9880</v>
      </c>
      <c r="H13" s="132">
        <v>300</v>
      </c>
      <c r="I13" s="63">
        <v>-9000</v>
      </c>
      <c r="J13" s="63">
        <v>-600</v>
      </c>
      <c r="K13" s="170">
        <f t="shared" si="8"/>
        <v>-9300</v>
      </c>
      <c r="L13" s="171">
        <v>13</v>
      </c>
      <c r="M13" s="153"/>
      <c r="N13" s="149">
        <f t="shared" si="9"/>
        <v>593</v>
      </c>
      <c r="O13" s="67">
        <f t="shared" si="2"/>
        <v>45254.450000000186</v>
      </c>
      <c r="P13" s="163">
        <f t="shared" si="5"/>
        <v>316781.1500000013</v>
      </c>
      <c r="Q13" s="164">
        <f>Q12+N13</f>
        <v>186203.45000000019</v>
      </c>
      <c r="R13" s="29">
        <f t="shared" si="3"/>
        <v>127.28955477696647</v>
      </c>
      <c r="S13" s="5">
        <f>SUM($Q$7:$Q13)/T13-1</f>
        <v>211080.45000000019</v>
      </c>
      <c r="T13" s="17">
        <v>7</v>
      </c>
      <c r="U13" s="138">
        <f>B14+6</f>
        <v>45020</v>
      </c>
      <c r="V13" s="249"/>
      <c r="W13" s="105">
        <v>-2971763</v>
      </c>
      <c r="X13" s="167"/>
      <c r="Y13" s="156">
        <f>Y12-K13-L13-1</f>
        <v>-2971763</v>
      </c>
      <c r="Z13" s="217"/>
      <c r="AA13" s="92"/>
      <c r="AB13" s="92"/>
    </row>
    <row r="14" spans="2:255">
      <c r="B14" s="116">
        <v>45014</v>
      </c>
      <c r="C14" s="14"/>
      <c r="D14" s="87">
        <f>-119893-974+1710</f>
        <v>-119157</v>
      </c>
      <c r="E14" s="87">
        <v>89</v>
      </c>
      <c r="F14" s="23">
        <v>-3906179</v>
      </c>
      <c r="G14" s="26">
        <f>D14+E14+F14-E13-F13</f>
        <v>-17779</v>
      </c>
      <c r="H14" s="132">
        <v>300</v>
      </c>
      <c r="I14" s="63">
        <v>8000</v>
      </c>
      <c r="J14" s="63">
        <v>-700</v>
      </c>
      <c r="K14" s="170">
        <f t="shared" si="8"/>
        <v>7600</v>
      </c>
      <c r="L14" s="171">
        <v>27</v>
      </c>
      <c r="M14" s="154"/>
      <c r="N14" s="149">
        <f>L14+K14+G14+M14</f>
        <v>-10152</v>
      </c>
      <c r="O14" s="67">
        <f>P14/T14+1</f>
        <v>40878.325000000186</v>
      </c>
      <c r="P14" s="163">
        <f t="shared" si="5"/>
        <v>327018.60000000149</v>
      </c>
      <c r="Q14" s="164">
        <f>Q13+N14+13</f>
        <v>176064.45000000019</v>
      </c>
      <c r="R14" s="29">
        <f t="shared" si="3"/>
        <v>124.65118768354984</v>
      </c>
      <c r="S14" s="5">
        <f>SUM($Q$7:$Q14)/T14+1</f>
        <v>206705.32500000019</v>
      </c>
      <c r="T14" s="17">
        <v>8</v>
      </c>
      <c r="U14" s="4"/>
      <c r="V14" s="4"/>
      <c r="W14" s="105">
        <v>-2979391</v>
      </c>
      <c r="X14" s="167"/>
      <c r="Y14" s="156">
        <f>Y13-K14-L14-1</f>
        <v>-2979391</v>
      </c>
      <c r="Z14" s="217"/>
      <c r="AA14" s="92"/>
    </row>
    <row r="15" spans="2:255">
      <c r="B15" s="116">
        <v>45015</v>
      </c>
      <c r="C15" s="14" t="str">
        <f t="shared" si="0"/>
        <v/>
      </c>
      <c r="D15" s="87">
        <f>-1288+743</f>
        <v>-545</v>
      </c>
      <c r="E15" s="87">
        <v>113</v>
      </c>
      <c r="F15" s="23">
        <v>-3902297</v>
      </c>
      <c r="G15" s="26">
        <f>D15+E15+F15-E14-F14</f>
        <v>3361</v>
      </c>
      <c r="H15" s="132">
        <v>300</v>
      </c>
      <c r="I15" s="63">
        <v>1300</v>
      </c>
      <c r="J15" s="63">
        <v>-700</v>
      </c>
      <c r="K15" s="170">
        <f t="shared" si="8"/>
        <v>900</v>
      </c>
      <c r="L15" s="172">
        <v>42</v>
      </c>
      <c r="M15" s="153"/>
      <c r="N15" s="149">
        <f>L15+K15+G15+M15</f>
        <v>4303</v>
      </c>
      <c r="O15" s="67">
        <f t="shared" si="2"/>
        <v>37951.005555555741</v>
      </c>
      <c r="P15" s="7">
        <f t="shared" si="5"/>
        <v>341559.05000000168</v>
      </c>
      <c r="Q15" s="164">
        <f>Q14+N15</f>
        <v>180367.45000000019</v>
      </c>
      <c r="R15" s="29">
        <f t="shared" si="3"/>
        <v>122.88650554828571</v>
      </c>
      <c r="S15" s="5">
        <f>SUM($Q$7:$Q15)/T15+1</f>
        <v>203779.00555555575</v>
      </c>
      <c r="T15" s="17">
        <v>9</v>
      </c>
      <c r="U15" s="4"/>
      <c r="V15" s="4"/>
      <c r="W15" s="105">
        <v>-2980334</v>
      </c>
      <c r="X15" s="167"/>
      <c r="Y15" s="156">
        <f>Y14-K15-L15-1</f>
        <v>-2980334</v>
      </c>
      <c r="Z15" s="217"/>
      <c r="AA15" s="92"/>
      <c r="AB15" s="92"/>
    </row>
    <row r="16" spans="2:255" s="69" customFormat="1">
      <c r="B16" s="116">
        <v>45016</v>
      </c>
      <c r="C16" s="14"/>
      <c r="D16" s="129"/>
      <c r="E16" s="87">
        <v>168</v>
      </c>
      <c r="F16" s="23">
        <v>-3836568</v>
      </c>
      <c r="G16" s="26">
        <f>D16+E16+F16-E15-F15</f>
        <v>65784</v>
      </c>
      <c r="H16" s="132">
        <v>200</v>
      </c>
      <c r="I16" s="63">
        <v>-48300</v>
      </c>
      <c r="J16" s="63">
        <v>-700</v>
      </c>
      <c r="K16" s="170">
        <f t="shared" si="8"/>
        <v>-48800</v>
      </c>
      <c r="L16" s="172">
        <v>0</v>
      </c>
      <c r="M16" s="153"/>
      <c r="N16" s="152">
        <f>L16+K16+G16+M16</f>
        <v>16984</v>
      </c>
      <c r="O16" s="67">
        <f t="shared" si="2"/>
        <v>37308.350000000188</v>
      </c>
      <c r="P16" s="70">
        <f t="shared" si="5"/>
        <v>373083.50000000186</v>
      </c>
      <c r="Q16" s="164">
        <f>Q15+N16</f>
        <v>197351.45000000019</v>
      </c>
      <c r="R16" s="71">
        <f t="shared" si="3"/>
        <v>122.49835672116131</v>
      </c>
      <c r="S16" s="72">
        <f>SUM($Q$7:$Q16)/T16</f>
        <v>203135.35000000018</v>
      </c>
      <c r="T16" s="73">
        <v>10</v>
      </c>
      <c r="U16" s="218"/>
      <c r="V16" s="133"/>
      <c r="W16" s="105">
        <v>-2931535</v>
      </c>
      <c r="X16" s="167"/>
      <c r="Y16" s="156">
        <f>Y15-K16-L16-1</f>
        <v>-2931535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45017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36782.540909091098</v>
      </c>
      <c r="P17" s="7">
        <f t="shared" si="5"/>
        <v>404607.95000000205</v>
      </c>
      <c r="Q17" s="164">
        <f t="shared" si="6"/>
        <v>197351.45000000019</v>
      </c>
      <c r="R17" s="29">
        <f t="shared" si="3"/>
        <v>122.18127380287353</v>
      </c>
      <c r="S17" s="5">
        <f>SUM($Q$7:$Q17)/T17</f>
        <v>202609.5409090911</v>
      </c>
      <c r="T17" s="18">
        <v>11</v>
      </c>
      <c r="U17" s="27"/>
      <c r="V17" s="136"/>
      <c r="W17" s="105">
        <v>-2931535</v>
      </c>
      <c r="X17" s="167"/>
      <c r="Y17" s="156">
        <f t="shared" si="7"/>
        <v>-2931535</v>
      </c>
      <c r="Z17" s="217"/>
      <c r="AA17" s="92"/>
      <c r="AC17" s="92"/>
    </row>
    <row r="18" spans="2:31">
      <c r="B18" s="116">
        <v>45018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36344.366666666851</v>
      </c>
      <c r="P18" s="7">
        <f t="shared" si="5"/>
        <v>436132.40000000224</v>
      </c>
      <c r="Q18" s="164">
        <f t="shared" si="6"/>
        <v>197351.45000000019</v>
      </c>
      <c r="R18" s="29">
        <f t="shared" si="3"/>
        <v>121.91522892331577</v>
      </c>
      <c r="S18" s="5">
        <f>SUM($Q$7:$Q18)/T18-3</f>
        <v>202168.36666666684</v>
      </c>
      <c r="T18" s="18">
        <v>12</v>
      </c>
      <c r="U18" s="27"/>
      <c r="V18" s="136"/>
      <c r="W18" s="105">
        <v>-2931535</v>
      </c>
      <c r="X18" s="167"/>
      <c r="Y18" s="156">
        <f t="shared" si="7"/>
        <v>-2931535</v>
      </c>
      <c r="Z18" s="217"/>
      <c r="AA18" s="92"/>
    </row>
    <row r="19" spans="2:31">
      <c r="B19" s="116">
        <v>45019</v>
      </c>
      <c r="C19" s="14" t="str">
        <f t="shared" si="0"/>
        <v/>
      </c>
      <c r="D19" s="87"/>
      <c r="E19" s="87">
        <v>88</v>
      </c>
      <c r="F19" s="23">
        <v>-3895423</v>
      </c>
      <c r="G19" s="26">
        <f>D19+E19+F19-E16-F16</f>
        <v>-58935</v>
      </c>
      <c r="H19" s="132">
        <v>10300</v>
      </c>
      <c r="I19" s="63">
        <v>88200</v>
      </c>
      <c r="J19" s="63">
        <v>-1700</v>
      </c>
      <c r="K19" s="170">
        <f t="shared" si="8"/>
        <v>96800</v>
      </c>
      <c r="L19" s="171">
        <v>-1</v>
      </c>
      <c r="M19" s="153"/>
      <c r="N19" s="149">
        <f t="shared" si="9"/>
        <v>37864</v>
      </c>
      <c r="O19" s="67">
        <f t="shared" si="2"/>
        <v>38886.296153846342</v>
      </c>
      <c r="P19" s="7">
        <f t="shared" si="5"/>
        <v>505521.85000000242</v>
      </c>
      <c r="Q19" s="164">
        <f>Q18+N19+1</f>
        <v>235216.45000000019</v>
      </c>
      <c r="R19" s="29">
        <f t="shared" si="3"/>
        <v>123.44991838111186</v>
      </c>
      <c r="S19" s="5">
        <f>SUM($Q$7:$Q19)/T19</f>
        <v>204713.29615384634</v>
      </c>
      <c r="T19" s="18">
        <v>13</v>
      </c>
      <c r="U19" s="138">
        <f>B19</f>
        <v>45019</v>
      </c>
      <c r="V19" s="131">
        <v>1916.3</v>
      </c>
      <c r="W19" s="105">
        <v>-3028334</v>
      </c>
      <c r="X19" s="167">
        <f>AVERAGE(W20:W27)</f>
        <v>-3061549.5</v>
      </c>
      <c r="Y19" s="156">
        <f>Y18-K19-L19</f>
        <v>-3028334</v>
      </c>
      <c r="Z19" s="217">
        <f>AVERAGE(Y19:Y27)</f>
        <v>-3057858.888888889</v>
      </c>
      <c r="AA19" s="92"/>
      <c r="AD19" s="309"/>
    </row>
    <row r="20" spans="2:31">
      <c r="B20" s="116">
        <v>45020</v>
      </c>
      <c r="C20" s="14"/>
      <c r="D20" s="87"/>
      <c r="E20" s="87">
        <v>15</v>
      </c>
      <c r="F20" s="23">
        <v>-3988890</v>
      </c>
      <c r="G20" s="26">
        <f>D20+E20+F20-E19-F19</f>
        <v>-93540</v>
      </c>
      <c r="H20" s="132">
        <v>300</v>
      </c>
      <c r="I20" s="63">
        <v>17400</v>
      </c>
      <c r="J20" s="63">
        <v>-1800</v>
      </c>
      <c r="K20" s="170">
        <f t="shared" si="8"/>
        <v>15900</v>
      </c>
      <c r="L20" s="171">
        <v>29</v>
      </c>
      <c r="M20" s="153"/>
      <c r="N20" s="149">
        <f t="shared" si="9"/>
        <v>-77611</v>
      </c>
      <c r="O20" s="67">
        <f t="shared" si="2"/>
        <v>35521.378571428759</v>
      </c>
      <c r="P20" s="7">
        <f t="shared" si="5"/>
        <v>497299.30000000261</v>
      </c>
      <c r="Q20" s="164">
        <f>Q19+N20-1</f>
        <v>157604.45000000019</v>
      </c>
      <c r="R20" s="29">
        <f t="shared" si="3"/>
        <v>121.42074485543897</v>
      </c>
      <c r="S20" s="5">
        <f>SUM($Q$7:$Q20)/T20</f>
        <v>201348.37857142877</v>
      </c>
      <c r="T20" s="18">
        <v>14</v>
      </c>
      <c r="U20" s="138">
        <f>B19+8</f>
        <v>45027</v>
      </c>
      <c r="V20" s="131"/>
      <c r="W20" s="105">
        <v>-3044262</v>
      </c>
      <c r="X20" s="167"/>
      <c r="Y20" s="156">
        <f>Y19-K20-L20+1</f>
        <v>-3044262</v>
      </c>
      <c r="Z20" s="217"/>
      <c r="AA20" s="92"/>
      <c r="AB20" s="92"/>
    </row>
    <row r="21" spans="2:31">
      <c r="B21" s="116">
        <v>45021</v>
      </c>
      <c r="C21" s="14" t="str">
        <f t="shared" si="0"/>
        <v/>
      </c>
      <c r="D21" s="87">
        <f>-1710+1167</f>
        <v>-543</v>
      </c>
      <c r="E21" s="87">
        <v>34</v>
      </c>
      <c r="F21" s="23">
        <v>-3976889</v>
      </c>
      <c r="G21" s="26">
        <f>D21+E21+F21-E20-F20</f>
        <v>11477</v>
      </c>
      <c r="H21" s="132">
        <v>400</v>
      </c>
      <c r="I21" s="63">
        <v>11700</v>
      </c>
      <c r="J21" s="63">
        <v>-1800</v>
      </c>
      <c r="K21" s="170">
        <f t="shared" si="8"/>
        <v>10300</v>
      </c>
      <c r="L21" s="171">
        <v>-38</v>
      </c>
      <c r="M21" s="153"/>
      <c r="N21" s="149">
        <f>L21+K21+G21+M21</f>
        <v>21739</v>
      </c>
      <c r="O21" s="67">
        <f t="shared" si="2"/>
        <v>34054.450000000186</v>
      </c>
      <c r="P21" s="7">
        <f t="shared" si="5"/>
        <v>510816.75000000279</v>
      </c>
      <c r="Q21" s="164">
        <f>Q20+N21+1</f>
        <v>179344.45000000019</v>
      </c>
      <c r="R21" s="29">
        <f t="shared" si="3"/>
        <v>120.53552799001379</v>
      </c>
      <c r="S21" s="5">
        <f>SUM($Q$7:$Q21)/T21-1</f>
        <v>199880.45000000019</v>
      </c>
      <c r="T21" s="18">
        <v>15</v>
      </c>
      <c r="U21" s="4"/>
      <c r="V21" s="131"/>
      <c r="W21" s="105">
        <v>-3054525</v>
      </c>
      <c r="X21" s="167"/>
      <c r="Y21" s="156">
        <f>Y20-K21-L21-1</f>
        <v>-3054525</v>
      </c>
      <c r="Z21" s="217"/>
      <c r="AA21" s="92"/>
    </row>
    <row r="22" spans="2:31">
      <c r="B22" s="116">
        <v>45022</v>
      </c>
      <c r="C22" s="14" t="str">
        <f t="shared" si="0"/>
        <v/>
      </c>
      <c r="D22" s="87"/>
      <c r="E22" s="87">
        <v>26</v>
      </c>
      <c r="F22" s="23">
        <v>-4008717</v>
      </c>
      <c r="G22" s="26">
        <f>D22+E22+F22-E21-F21</f>
        <v>-31836</v>
      </c>
      <c r="H22" s="132">
        <v>300</v>
      </c>
      <c r="I22" s="63">
        <v>12700</v>
      </c>
      <c r="J22" s="63">
        <v>-1800</v>
      </c>
      <c r="K22" s="170">
        <f t="shared" si="8"/>
        <v>11200</v>
      </c>
      <c r="L22" s="171">
        <v>33</v>
      </c>
      <c r="M22" s="153"/>
      <c r="N22" s="149">
        <f>L22+K22+G22+M22</f>
        <v>-20603</v>
      </c>
      <c r="O22" s="67">
        <f t="shared" si="2"/>
        <v>31483.137500000186</v>
      </c>
      <c r="P22" s="7">
        <f t="shared" si="5"/>
        <v>503730.20000000298</v>
      </c>
      <c r="Q22" s="164">
        <f>Q21+N22-1</f>
        <v>158740.45000000019</v>
      </c>
      <c r="R22" s="29">
        <f t="shared" si="3"/>
        <v>118.9867376844544</v>
      </c>
      <c r="S22" s="5">
        <f>SUM($Q$7:$Q22)/T22+2</f>
        <v>197312.13750000019</v>
      </c>
      <c r="T22" s="18">
        <v>16</v>
      </c>
      <c r="U22" s="4"/>
      <c r="V22" s="131"/>
      <c r="W22" s="105">
        <v>-3065758</v>
      </c>
      <c r="X22" s="167"/>
      <c r="Y22" s="156">
        <f>Y21-K22-L22</f>
        <v>-3065758</v>
      </c>
      <c r="Z22" s="217"/>
      <c r="AA22" s="92"/>
    </row>
    <row r="23" spans="2:31">
      <c r="B23" s="116">
        <v>45023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>
        <f t="shared" si="8"/>
        <v>0</v>
      </c>
      <c r="L23" s="171"/>
      <c r="M23" s="153"/>
      <c r="N23" s="149">
        <f>L23+K23+G23+M23</f>
        <v>0</v>
      </c>
      <c r="O23" s="67">
        <f t="shared" si="2"/>
        <v>29214.332352941361</v>
      </c>
      <c r="P23" s="7">
        <f t="shared" si="5"/>
        <v>496643.65000000317</v>
      </c>
      <c r="Q23" s="164">
        <f>Q22+N23</f>
        <v>158740.45000000019</v>
      </c>
      <c r="R23" s="29">
        <f t="shared" si="3"/>
        <v>117.61735564952713</v>
      </c>
      <c r="S23" s="5">
        <f>SUM($Q$7:$Q23)/T23</f>
        <v>195041.33235294136</v>
      </c>
      <c r="T23" s="18">
        <v>17</v>
      </c>
      <c r="U23" s="27"/>
      <c r="V23" s="135"/>
      <c r="W23" s="105">
        <v>-3065758</v>
      </c>
      <c r="X23" s="167"/>
      <c r="Y23" s="156">
        <f>Y22-K23-L23</f>
        <v>-3065758</v>
      </c>
      <c r="Z23" s="217"/>
      <c r="AA23" s="92"/>
    </row>
    <row r="24" spans="2:31">
      <c r="B24" s="116">
        <v>45024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27197.616666666854</v>
      </c>
      <c r="P24" s="7">
        <f t="shared" si="5"/>
        <v>489557.10000000335</v>
      </c>
      <c r="Q24" s="164">
        <f t="shared" ref="Q24:Q25" si="10">Q23+N24</f>
        <v>158740.45000000019</v>
      </c>
      <c r="R24" s="29">
        <f t="shared" si="3"/>
        <v>116.40119924178019</v>
      </c>
      <c r="S24" s="5">
        <f>SUM($Q$7:$Q24)/T24</f>
        <v>193024.61666666684</v>
      </c>
      <c r="T24" s="18">
        <v>18</v>
      </c>
      <c r="U24" s="4"/>
      <c r="V24" s="135"/>
      <c r="W24" s="105">
        <v>-3065758</v>
      </c>
      <c r="X24" s="167"/>
      <c r="Y24" s="156">
        <f t="shared" si="7"/>
        <v>-3065758</v>
      </c>
      <c r="Z24" s="217"/>
      <c r="AA24" s="92"/>
      <c r="AD24" s="1"/>
      <c r="AE24" s="1"/>
    </row>
    <row r="25" spans="2:31">
      <c r="B25" s="116">
        <v>45025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25393.18684210545</v>
      </c>
      <c r="P25" s="7">
        <f t="shared" si="5"/>
        <v>482470.55000000354</v>
      </c>
      <c r="Q25" s="164">
        <f t="shared" si="10"/>
        <v>158740.45000000019</v>
      </c>
      <c r="R25" s="29">
        <f t="shared" si="3"/>
        <v>115.31305929800662</v>
      </c>
      <c r="S25" s="5">
        <f>SUM($Q$7:$Q25)/T25</f>
        <v>191220.18684210544</v>
      </c>
      <c r="T25" s="18">
        <v>19</v>
      </c>
      <c r="U25" s="4"/>
      <c r="V25" s="131"/>
      <c r="W25" s="105">
        <v>-3065758</v>
      </c>
      <c r="X25" s="167"/>
      <c r="Y25" s="156">
        <f t="shared" si="7"/>
        <v>-3065758</v>
      </c>
      <c r="Z25" s="217"/>
      <c r="AA25" s="92"/>
      <c r="AD25" s="1"/>
      <c r="AE25" s="1"/>
    </row>
    <row r="26" spans="2:31">
      <c r="B26" s="116">
        <v>45026</v>
      </c>
      <c r="C26" s="14" t="s">
        <v>242</v>
      </c>
      <c r="D26" s="87"/>
      <c r="E26" s="87"/>
      <c r="F26" s="23"/>
      <c r="G26" s="26"/>
      <c r="H26" s="132"/>
      <c r="I26" s="63"/>
      <c r="J26" s="63"/>
      <c r="K26" s="170">
        <f t="shared" si="8"/>
        <v>0</v>
      </c>
      <c r="L26" s="171"/>
      <c r="M26" s="153"/>
      <c r="N26" s="149">
        <f t="shared" si="9"/>
        <v>0</v>
      </c>
      <c r="O26" s="67">
        <f t="shared" si="2"/>
        <v>23769.200000000186</v>
      </c>
      <c r="P26" s="7">
        <f t="shared" si="5"/>
        <v>475384.00000000373</v>
      </c>
      <c r="Q26" s="164">
        <f>Q25+N26</f>
        <v>158740.45000000019</v>
      </c>
      <c r="R26" s="29">
        <f t="shared" si="3"/>
        <v>114.33252727239847</v>
      </c>
      <c r="S26" s="5">
        <f>SUM($Q$7:$Q26)/T26-2</f>
        <v>189594.20000000019</v>
      </c>
      <c r="T26" s="18">
        <v>20</v>
      </c>
      <c r="U26" s="138">
        <f>B26</f>
        <v>45026</v>
      </c>
      <c r="V26" s="131">
        <v>1858.3</v>
      </c>
      <c r="W26" s="105">
        <v>-3065758</v>
      </c>
      <c r="X26" s="167">
        <f>AVERAGE(W26:W34)</f>
        <v>-3065509.5555555555</v>
      </c>
      <c r="Y26" s="156">
        <f>Y25-K26-L26</f>
        <v>-3065758</v>
      </c>
      <c r="Z26" s="217">
        <f>AVERAGE(Y26:Y34)</f>
        <v>-3065509.5555555555</v>
      </c>
      <c r="AC26" s="92"/>
      <c r="AD26" s="1"/>
      <c r="AE26" s="1"/>
    </row>
    <row r="27" spans="2:31">
      <c r="B27" s="116">
        <v>45027</v>
      </c>
      <c r="C27" s="14" t="str">
        <f t="shared" si="0"/>
        <v/>
      </c>
      <c r="D27" s="87"/>
      <c r="E27" s="87">
        <v>44</v>
      </c>
      <c r="F27" s="23">
        <v>-4006662</v>
      </c>
      <c r="G27" s="26">
        <f>D27+E27+F27-E22-F22</f>
        <v>2073</v>
      </c>
      <c r="H27" s="132">
        <v>300</v>
      </c>
      <c r="I27" s="63">
        <v>-1900</v>
      </c>
      <c r="J27" s="63">
        <v>700</v>
      </c>
      <c r="K27" s="170">
        <f t="shared" si="8"/>
        <v>-900</v>
      </c>
      <c r="L27" s="171">
        <v>-40</v>
      </c>
      <c r="M27" s="153"/>
      <c r="N27" s="149">
        <f>L27+K27+G27+M27</f>
        <v>1133</v>
      </c>
      <c r="O27" s="67">
        <f t="shared" si="2"/>
        <v>22353.926190476377</v>
      </c>
      <c r="P27" s="7">
        <f t="shared" si="5"/>
        <v>469432.45000000391</v>
      </c>
      <c r="Q27" s="164">
        <f>Q26+N27+2</f>
        <v>159875.45000000019</v>
      </c>
      <c r="R27" s="29">
        <f t="shared" si="3"/>
        <v>113.48026931107502</v>
      </c>
      <c r="S27" s="5">
        <f>SUM($Q$7:$Q27)/T27</f>
        <v>188180.92619047637</v>
      </c>
      <c r="T27" s="18">
        <v>21</v>
      </c>
      <c r="U27" s="138">
        <f>B28+6</f>
        <v>45034</v>
      </c>
      <c r="V27" s="159"/>
      <c r="W27" s="105">
        <v>-3064819</v>
      </c>
      <c r="X27" s="167"/>
      <c r="Y27" s="156">
        <f>Y26-K27-L27-1</f>
        <v>-3064819</v>
      </c>
      <c r="Z27" s="217"/>
      <c r="AA27" s="92"/>
      <c r="AD27" s="1"/>
      <c r="AE27" s="1"/>
    </row>
    <row r="28" spans="2:31">
      <c r="B28" s="116">
        <v>45028</v>
      </c>
      <c r="C28" s="14" t="str">
        <f t="shared" si="0"/>
        <v/>
      </c>
      <c r="D28" s="87">
        <f>-1167+1622</f>
        <v>455</v>
      </c>
      <c r="E28" s="87">
        <v>3</v>
      </c>
      <c r="F28" s="23">
        <v>-3999569</v>
      </c>
      <c r="G28" s="26">
        <f>D28+E28+F28-E27-F27</f>
        <v>7507</v>
      </c>
      <c r="H28" s="132">
        <v>300</v>
      </c>
      <c r="I28" s="63">
        <v>-12000</v>
      </c>
      <c r="J28" s="63">
        <v>700</v>
      </c>
      <c r="K28" s="170">
        <f t="shared" si="8"/>
        <v>-11000</v>
      </c>
      <c r="L28" s="171">
        <v>24</v>
      </c>
      <c r="M28" s="153"/>
      <c r="N28" s="149">
        <f>L28+K28+G28+M28</f>
        <v>-3469</v>
      </c>
      <c r="O28" s="67">
        <f t="shared" si="2"/>
        <v>20909.495454545642</v>
      </c>
      <c r="P28" s="7">
        <f t="shared" si="5"/>
        <v>460008.9000000041</v>
      </c>
      <c r="Q28" s="164">
        <f>Q27+N28-3</f>
        <v>156403.45000000019</v>
      </c>
      <c r="R28" s="29">
        <f t="shared" si="3"/>
        <v>112.60861949775706</v>
      </c>
      <c r="S28" s="5">
        <f>SUM($Q$7:$Q28)/T28-1</f>
        <v>186735.49545454563</v>
      </c>
      <c r="T28" s="18">
        <v>22</v>
      </c>
      <c r="U28" s="4"/>
      <c r="V28" s="131"/>
      <c r="W28" s="105">
        <v>-3053842</v>
      </c>
      <c r="X28" s="167"/>
      <c r="Y28" s="156">
        <f>Y27-K28-L28+1</f>
        <v>-3053842</v>
      </c>
      <c r="Z28" s="217"/>
      <c r="AA28" s="92"/>
      <c r="AD28" s="1"/>
      <c r="AE28" s="1"/>
    </row>
    <row r="29" spans="2:31">
      <c r="B29" s="116">
        <v>45029</v>
      </c>
      <c r="C29" s="14" t="str">
        <f t="shared" si="0"/>
        <v/>
      </c>
      <c r="D29" s="87"/>
      <c r="E29" s="87">
        <v>3</v>
      </c>
      <c r="F29" s="23">
        <v>-4001225</v>
      </c>
      <c r="G29" s="26">
        <f>D29+E29+F29-E28-F28</f>
        <v>-1656</v>
      </c>
      <c r="H29" s="132">
        <v>300</v>
      </c>
      <c r="I29" s="63">
        <v>3100</v>
      </c>
      <c r="J29" s="63">
        <v>600</v>
      </c>
      <c r="K29" s="170">
        <f t="shared" si="8"/>
        <v>4000</v>
      </c>
      <c r="L29" s="171">
        <v>2</v>
      </c>
      <c r="M29" s="153"/>
      <c r="N29" s="149">
        <f>L29+K29+G29+M29</f>
        <v>2346</v>
      </c>
      <c r="O29" s="67">
        <f t="shared" si="2"/>
        <v>19692.754347826274</v>
      </c>
      <c r="P29" s="7">
        <f t="shared" si="5"/>
        <v>452933.35000000428</v>
      </c>
      <c r="Q29" s="164">
        <f>Q28+N29+2</f>
        <v>158751.45000000019</v>
      </c>
      <c r="R29" s="29">
        <f t="shared" si="3"/>
        <v>111.87548128340154</v>
      </c>
      <c r="S29" s="5">
        <f>SUM($Q$7:$Q29)/T29</f>
        <v>185519.75434782627</v>
      </c>
      <c r="T29" s="18">
        <v>23</v>
      </c>
      <c r="U29" s="4"/>
      <c r="V29" s="131"/>
      <c r="W29" s="105">
        <v>-3057844</v>
      </c>
      <c r="X29" s="167"/>
      <c r="Y29" s="156">
        <f>Y28-K29-L29</f>
        <v>-3057844</v>
      </c>
      <c r="Z29" s="217"/>
      <c r="AA29" s="92"/>
      <c r="AD29" s="1"/>
      <c r="AE29" s="1"/>
    </row>
    <row r="30" spans="2:31">
      <c r="B30" s="116">
        <v>45030</v>
      </c>
      <c r="C30" s="14" t="str">
        <f t="shared" si="0"/>
        <v/>
      </c>
      <c r="D30" s="87"/>
      <c r="E30" s="87">
        <v>0</v>
      </c>
      <c r="F30" s="23">
        <v>-4016801</v>
      </c>
      <c r="G30" s="26">
        <f>D30+E30+F30-E29-F29</f>
        <v>-15579</v>
      </c>
      <c r="H30" s="132">
        <v>2800</v>
      </c>
      <c r="I30" s="25">
        <v>9100</v>
      </c>
      <c r="J30" s="25">
        <v>600</v>
      </c>
      <c r="K30" s="170">
        <f t="shared" si="8"/>
        <v>12500</v>
      </c>
      <c r="L30" s="171">
        <v>4</v>
      </c>
      <c r="M30" s="153"/>
      <c r="N30" s="149">
        <f>L30+K30+G30+M30</f>
        <v>-3075</v>
      </c>
      <c r="O30" s="67">
        <f t="shared" si="2"/>
        <v>18449.200000000186</v>
      </c>
      <c r="P30" s="7">
        <f t="shared" si="5"/>
        <v>442780.80000000447</v>
      </c>
      <c r="Q30" s="164">
        <f>Q29+N30-2</f>
        <v>155674.45000000019</v>
      </c>
      <c r="R30" s="29">
        <f t="shared" si="3"/>
        <v>111.12858581533777</v>
      </c>
      <c r="S30" s="5">
        <f>SUM($Q$7:$Q30)/T30+5</f>
        <v>184281.20000000019</v>
      </c>
      <c r="T30" s="18">
        <v>24</v>
      </c>
      <c r="U30" s="4"/>
      <c r="V30" s="131"/>
      <c r="W30" s="105">
        <v>-3070348</v>
      </c>
      <c r="X30" s="167"/>
      <c r="Y30" s="156">
        <f>Y29-K30-L30</f>
        <v>-3070348</v>
      </c>
      <c r="Z30" s="217"/>
      <c r="AA30" s="92"/>
      <c r="AD30" s="1"/>
      <c r="AE30" s="1"/>
    </row>
    <row r="31" spans="2:31">
      <c r="B31" s="116">
        <v>45031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17305.130000000187</v>
      </c>
      <c r="P31" s="7">
        <f t="shared" si="5"/>
        <v>432628.25000000466</v>
      </c>
      <c r="Q31" s="164">
        <f t="shared" ref="Q31:Q39" si="11">Q30+N31</f>
        <v>155674.45000000019</v>
      </c>
      <c r="R31" s="29">
        <f t="shared" si="3"/>
        <v>110.43504978079575</v>
      </c>
      <c r="S31" s="5">
        <f>SUM($Q$7:$Q31)/T31-1</f>
        <v>183131.13000000018</v>
      </c>
      <c r="T31" s="18">
        <v>25</v>
      </c>
      <c r="U31" s="4"/>
      <c r="V31" s="137"/>
      <c r="W31" s="105">
        <v>-3070348</v>
      </c>
      <c r="X31" s="167"/>
      <c r="Y31" s="156">
        <f t="shared" si="7"/>
        <v>-3070348</v>
      </c>
      <c r="Z31" s="217"/>
      <c r="AA31" s="92"/>
      <c r="AB31" s="92"/>
      <c r="AD31" s="1"/>
      <c r="AE31" s="1"/>
    </row>
    <row r="32" spans="2:31">
      <c r="B32" s="116">
        <v>45032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16249.065384615571</v>
      </c>
      <c r="P32" s="7">
        <f t="shared" si="5"/>
        <v>422475.70000000484</v>
      </c>
      <c r="Q32" s="164">
        <f t="shared" si="11"/>
        <v>155674.45000000019</v>
      </c>
      <c r="R32" s="29">
        <f t="shared" si="3"/>
        <v>109.79820257534392</v>
      </c>
      <c r="S32" s="5">
        <f>SUM($Q$7:$Q32)/T32-1</f>
        <v>182075.06538461556</v>
      </c>
      <c r="T32" s="18">
        <v>26</v>
      </c>
      <c r="U32" s="27"/>
      <c r="V32" s="137"/>
      <c r="W32" s="105">
        <v>-3070348</v>
      </c>
      <c r="X32" s="167"/>
      <c r="Y32" s="156">
        <f t="shared" si="7"/>
        <v>-3070348</v>
      </c>
      <c r="Z32" s="217"/>
      <c r="AD32" s="1"/>
      <c r="AE32" s="1"/>
    </row>
    <row r="33" spans="2:31">
      <c r="B33" s="116">
        <v>45033</v>
      </c>
      <c r="C33" s="14" t="str">
        <f t="shared" si="0"/>
        <v/>
      </c>
      <c r="D33" s="87"/>
      <c r="E33" s="87">
        <v>49</v>
      </c>
      <c r="F33" s="23">
        <v>-3994191</v>
      </c>
      <c r="G33" s="26">
        <f>D33+E33+F33-E30-F30</f>
        <v>22659</v>
      </c>
      <c r="H33" s="132">
        <v>300</v>
      </c>
      <c r="I33" s="25">
        <v>-10300</v>
      </c>
      <c r="J33" s="25">
        <v>500</v>
      </c>
      <c r="K33" s="170">
        <f t="shared" si="8"/>
        <v>-9500</v>
      </c>
      <c r="L33" s="171">
        <v>39</v>
      </c>
      <c r="M33" s="153"/>
      <c r="N33" s="149">
        <f t="shared" si="9"/>
        <v>13198</v>
      </c>
      <c r="O33" s="67">
        <f t="shared" si="2"/>
        <v>15760.116666666852</v>
      </c>
      <c r="P33" s="7">
        <f t="shared" si="5"/>
        <v>425523.15000000503</v>
      </c>
      <c r="Q33" s="164">
        <f>Q32+N33+2</f>
        <v>168874.45000000019</v>
      </c>
      <c r="R33" s="29">
        <f t="shared" si="3"/>
        <v>109.50395090465777</v>
      </c>
      <c r="S33" s="5">
        <f>SUM($Q$7:$Q33)/T33</f>
        <v>181587.11666666684</v>
      </c>
      <c r="T33" s="18">
        <v>27</v>
      </c>
      <c r="U33" s="138">
        <f>B33</f>
        <v>45033</v>
      </c>
      <c r="V33" s="131">
        <v>1845</v>
      </c>
      <c r="W33" s="105">
        <v>-3060887</v>
      </c>
      <c r="X33" s="167">
        <f>AVERAGE(W33:W41)</f>
        <v>-3073698.6666666665</v>
      </c>
      <c r="Y33" s="156">
        <f>Y32-K33-L33</f>
        <v>-3060887</v>
      </c>
      <c r="Z33" s="217">
        <f>AVERAGE(Y33:Y41)</f>
        <v>-3073698.6666666665</v>
      </c>
      <c r="AD33" s="1"/>
      <c r="AE33" s="1"/>
    </row>
    <row r="34" spans="2:31">
      <c r="B34" s="116">
        <v>45034</v>
      </c>
      <c r="C34" s="14" t="str">
        <f t="shared" si="0"/>
        <v/>
      </c>
      <c r="D34" s="87"/>
      <c r="E34" s="87">
        <v>43</v>
      </c>
      <c r="F34" s="23">
        <v>-4015228</v>
      </c>
      <c r="G34" s="26">
        <f>D34+E34+F34-E33-F33</f>
        <v>-21043</v>
      </c>
      <c r="H34" s="132">
        <v>300</v>
      </c>
      <c r="I34" s="25">
        <v>13700</v>
      </c>
      <c r="J34" s="25">
        <v>500</v>
      </c>
      <c r="K34" s="170">
        <f t="shared" si="8"/>
        <v>14500</v>
      </c>
      <c r="L34" s="171">
        <v>5</v>
      </c>
      <c r="M34" s="153"/>
      <c r="N34" s="149">
        <f>L34+K34+G34+M34</f>
        <v>-6538</v>
      </c>
      <c r="O34" s="67">
        <f t="shared" si="2"/>
        <v>15072.557142857329</v>
      </c>
      <c r="P34" s="7">
        <f t="shared" si="5"/>
        <v>422031.60000000522</v>
      </c>
      <c r="Q34" s="164">
        <f>Q33+N34-1</f>
        <v>162335.45000000019</v>
      </c>
      <c r="R34" s="29">
        <f t="shared" si="3"/>
        <v>109.08932631167261</v>
      </c>
      <c r="S34" s="5">
        <f>SUM($Q$7:$Q34)/T34</f>
        <v>180899.55714285732</v>
      </c>
      <c r="T34" s="18">
        <v>28</v>
      </c>
      <c r="U34" s="138">
        <f>B33+8</f>
        <v>45041</v>
      </c>
      <c r="V34" s="131"/>
      <c r="W34" s="105">
        <v>-3075392</v>
      </c>
      <c r="X34" s="167"/>
      <c r="Y34" s="156">
        <f>Y33-K34-L34</f>
        <v>-3075392</v>
      </c>
      <c r="Z34" s="217"/>
      <c r="AA34" s="92"/>
      <c r="AD34" s="1"/>
      <c r="AE34" s="1"/>
    </row>
    <row r="35" spans="2:31">
      <c r="B35" s="116">
        <v>45035</v>
      </c>
      <c r="C35" s="14" t="str">
        <f t="shared" si="0"/>
        <v/>
      </c>
      <c r="D35" s="87">
        <f>-1622+1535</f>
        <v>-87</v>
      </c>
      <c r="E35" s="87">
        <v>0</v>
      </c>
      <c r="F35" s="23">
        <v>-3993753</v>
      </c>
      <c r="G35" s="26">
        <f>D35+E35+F35-E34-F34</f>
        <v>21345</v>
      </c>
      <c r="H35" s="132">
        <v>-15700</v>
      </c>
      <c r="I35" s="25">
        <v>-3900</v>
      </c>
      <c r="J35" s="25">
        <v>500</v>
      </c>
      <c r="K35" s="170">
        <f t="shared" si="8"/>
        <v>-19100</v>
      </c>
      <c r="L35" s="171">
        <v>34</v>
      </c>
      <c r="M35" s="153"/>
      <c r="N35" s="149">
        <f t="shared" si="9"/>
        <v>2279</v>
      </c>
      <c r="O35" s="67">
        <f t="shared" si="2"/>
        <v>14511.036206896739</v>
      </c>
      <c r="P35" s="7">
        <f t="shared" si="5"/>
        <v>420820.0500000054</v>
      </c>
      <c r="Q35" s="164">
        <f>Q34+N35+1</f>
        <v>164615.45000000019</v>
      </c>
      <c r="R35" s="29">
        <f t="shared" si="3"/>
        <v>108.75131082808996</v>
      </c>
      <c r="S35" s="5">
        <f>SUM($Q$7:$Q35)/T35+1</f>
        <v>180339.03620689674</v>
      </c>
      <c r="T35" s="18">
        <v>29</v>
      </c>
      <c r="U35" s="4"/>
      <c r="V35" s="131"/>
      <c r="W35" s="105">
        <v>-3056327</v>
      </c>
      <c r="X35" s="167"/>
      <c r="Y35" s="156">
        <f>Y34-K35-L35-1</f>
        <v>-3056327</v>
      </c>
      <c r="Z35" s="217"/>
      <c r="AA35" s="92"/>
      <c r="AD35" s="1"/>
      <c r="AE35" s="1"/>
    </row>
    <row r="36" spans="2:31">
      <c r="B36" s="116">
        <v>45036</v>
      </c>
      <c r="C36" s="14" t="str">
        <f t="shared" si="0"/>
        <v/>
      </c>
      <c r="D36" s="87"/>
      <c r="E36" s="87">
        <v>1860</v>
      </c>
      <c r="F36" s="23">
        <v>-4002711</v>
      </c>
      <c r="G36" s="26">
        <f>D36+E36+F36-E35-F35</f>
        <v>-7098</v>
      </c>
      <c r="H36" s="132">
        <v>-10100</v>
      </c>
      <c r="I36" s="25">
        <v>13700</v>
      </c>
      <c r="J36" s="25">
        <v>400</v>
      </c>
      <c r="K36" s="170">
        <f t="shared" si="8"/>
        <v>4000</v>
      </c>
      <c r="L36" s="171">
        <v>31</v>
      </c>
      <c r="M36" s="153"/>
      <c r="N36" s="149">
        <f t="shared" si="9"/>
        <v>-3067</v>
      </c>
      <c r="O36" s="67">
        <f t="shared" si="2"/>
        <v>13884.616666666852</v>
      </c>
      <c r="P36" s="7">
        <f t="shared" si="5"/>
        <v>416538.50000000559</v>
      </c>
      <c r="Q36" s="164">
        <f>Q35+N36-3</f>
        <v>161545.45000000019</v>
      </c>
      <c r="R36" s="29">
        <f t="shared" si="3"/>
        <v>108.3729529368962</v>
      </c>
      <c r="S36" s="5">
        <f>SUM($Q$7:$Q36)/T36</f>
        <v>179711.61666666684</v>
      </c>
      <c r="T36" s="18">
        <v>30</v>
      </c>
      <c r="U36" s="4"/>
      <c r="V36" s="136"/>
      <c r="W36" s="105">
        <v>-3060355</v>
      </c>
      <c r="X36" s="167"/>
      <c r="Y36" s="156">
        <f>Y35-K36-L36+3</f>
        <v>-3060355</v>
      </c>
      <c r="Z36" s="217"/>
      <c r="AD36" s="1"/>
      <c r="AE36" s="1"/>
    </row>
    <row r="37" spans="2:31">
      <c r="B37" s="116">
        <v>45037</v>
      </c>
      <c r="C37" s="14"/>
      <c r="D37" s="87"/>
      <c r="E37" s="87">
        <v>6</v>
      </c>
      <c r="F37" s="23">
        <v>-4016323</v>
      </c>
      <c r="G37" s="26">
        <f>D37+E37+F37-E36-F36</f>
        <v>-15466</v>
      </c>
      <c r="H37" s="132">
        <v>2000</v>
      </c>
      <c r="I37" s="25">
        <v>16500</v>
      </c>
      <c r="J37" s="25">
        <v>400</v>
      </c>
      <c r="K37" s="170">
        <f t="shared" si="8"/>
        <v>18900</v>
      </c>
      <c r="L37" s="171">
        <v>-29</v>
      </c>
      <c r="M37" s="153"/>
      <c r="N37" s="149">
        <f t="shared" si="9"/>
        <v>3405</v>
      </c>
      <c r="O37" s="67">
        <f t="shared" si="2"/>
        <v>13408.353225806637</v>
      </c>
      <c r="P37" s="7">
        <f t="shared" si="5"/>
        <v>415658.95000000577</v>
      </c>
      <c r="Q37" s="164">
        <f>Q36+N37-3</f>
        <v>164947.45000000019</v>
      </c>
      <c r="R37" s="29">
        <f t="shared" si="3"/>
        <v>108.08635097167931</v>
      </c>
      <c r="S37" s="5">
        <f>SUM($Q$7:$Q37)/T37+1</f>
        <v>179236.35322580664</v>
      </c>
      <c r="T37" s="18">
        <v>31</v>
      </c>
      <c r="U37" s="27"/>
      <c r="V37" s="137"/>
      <c r="W37" s="105">
        <v>-3079224</v>
      </c>
      <c r="X37" s="167"/>
      <c r="Y37" s="156">
        <f>Y36-K37-L37+2</f>
        <v>-3079224</v>
      </c>
      <c r="Z37" s="217"/>
      <c r="AA37" s="92"/>
      <c r="AD37" s="1"/>
      <c r="AE37" s="1"/>
    </row>
    <row r="38" spans="2:31">
      <c r="B38" s="116">
        <v>45038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12961.856250000186</v>
      </c>
      <c r="P38" s="7">
        <f t="shared" si="5"/>
        <v>414779.40000000596</v>
      </c>
      <c r="Q38" s="164">
        <f t="shared" si="11"/>
        <v>164947.45000000019</v>
      </c>
      <c r="R38" s="29">
        <f t="shared" si="3"/>
        <v>107.81649324295815</v>
      </c>
      <c r="S38" s="5">
        <f>SUM($Q$7:$Q38)/T38</f>
        <v>178788.85625000019</v>
      </c>
      <c r="T38" s="18">
        <v>32</v>
      </c>
      <c r="U38" s="27"/>
      <c r="V38" s="137"/>
      <c r="W38" s="105">
        <v>-3079224</v>
      </c>
      <c r="X38" s="167"/>
      <c r="Y38" s="156">
        <f t="shared" si="7"/>
        <v>-3079224</v>
      </c>
      <c r="Z38" s="217"/>
      <c r="AD38" s="1"/>
      <c r="AE38" s="1"/>
    </row>
    <row r="39" spans="2:31">
      <c r="B39" s="116">
        <v>45039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12542.419696969882</v>
      </c>
      <c r="P39" s="7">
        <f t="shared" si="5"/>
        <v>413899.85000000615</v>
      </c>
      <c r="Q39" s="164">
        <f t="shared" si="11"/>
        <v>164947.45000000019</v>
      </c>
      <c r="R39" s="29">
        <f t="shared" si="3"/>
        <v>107.56476309465279</v>
      </c>
      <c r="S39" s="5">
        <f>SUM($Q$7:$Q39)/T39+2</f>
        <v>178371.41969696988</v>
      </c>
      <c r="T39" s="18">
        <v>33</v>
      </c>
      <c r="U39" s="27"/>
      <c r="V39" s="137"/>
      <c r="W39" s="105">
        <v>-3079224</v>
      </c>
      <c r="X39" s="167"/>
      <c r="Y39" s="156">
        <f t="shared" si="7"/>
        <v>-3079224</v>
      </c>
      <c r="Z39" s="217"/>
      <c r="AD39" s="1"/>
      <c r="AE39" s="1"/>
    </row>
    <row r="40" spans="2:31">
      <c r="B40" s="116">
        <v>45040</v>
      </c>
      <c r="C40" s="14"/>
      <c r="D40" s="87"/>
      <c r="E40" s="87">
        <v>11</v>
      </c>
      <c r="F40" s="23">
        <v>-4014204</v>
      </c>
      <c r="G40" s="26">
        <f>D40+E40+F40-E37-F37</f>
        <v>2124</v>
      </c>
      <c r="H40" s="132">
        <v>-2500</v>
      </c>
      <c r="I40" s="25">
        <v>1500</v>
      </c>
      <c r="J40" s="25">
        <v>-900</v>
      </c>
      <c r="K40" s="170">
        <f t="shared" si="8"/>
        <v>-1900</v>
      </c>
      <c r="L40" s="171">
        <v>2</v>
      </c>
      <c r="M40" s="153"/>
      <c r="N40" s="149">
        <f t="shared" si="9"/>
        <v>226</v>
      </c>
      <c r="O40" s="67">
        <f t="shared" si="2"/>
        <v>12154.302941176657</v>
      </c>
      <c r="P40" s="7">
        <f t="shared" si="5"/>
        <v>413246.30000000633</v>
      </c>
      <c r="Q40" s="164">
        <f>Q39+N40</f>
        <v>165173.45000000019</v>
      </c>
      <c r="R40" s="29">
        <f t="shared" si="3"/>
        <v>107.32890478702302</v>
      </c>
      <c r="S40" s="5">
        <f>SUM($Q$7:$Q40)/T40-1</f>
        <v>177980.30294117666</v>
      </c>
      <c r="T40" s="18">
        <v>34</v>
      </c>
      <c r="U40" s="138">
        <f>B40</f>
        <v>45040</v>
      </c>
      <c r="V40" s="131">
        <v>1833.3</v>
      </c>
      <c r="W40" s="105">
        <v>-3077324</v>
      </c>
      <c r="X40" s="167">
        <f>AVERAGE(W40:W48)</f>
        <v>-3078294.5555555555</v>
      </c>
      <c r="Y40" s="156">
        <f>Y39-K40-L40+2</f>
        <v>-3077324</v>
      </c>
      <c r="Z40" s="217">
        <f>AVERAGE(Y40:Y48)</f>
        <v>-3078294.4444444445</v>
      </c>
      <c r="AD40" s="1"/>
      <c r="AE40" s="1"/>
    </row>
    <row r="41" spans="2:31">
      <c r="B41" s="116">
        <v>45041</v>
      </c>
      <c r="C41" s="14" t="str">
        <f t="shared" si="0"/>
        <v/>
      </c>
      <c r="D41" s="87"/>
      <c r="E41" s="87">
        <v>11</v>
      </c>
      <c r="F41" s="23">
        <v>-4024169</v>
      </c>
      <c r="G41" s="26">
        <f>D41+E41+F41-E40-F40</f>
        <v>-9965</v>
      </c>
      <c r="H41" s="132">
        <v>300</v>
      </c>
      <c r="I41" s="25">
        <v>18600</v>
      </c>
      <c r="J41" s="25">
        <v>-900</v>
      </c>
      <c r="K41" s="170">
        <f t="shared" si="8"/>
        <v>18000</v>
      </c>
      <c r="L41" s="171">
        <v>8</v>
      </c>
      <c r="M41" s="153"/>
      <c r="N41" s="149">
        <f t="shared" si="9"/>
        <v>8043</v>
      </c>
      <c r="O41" s="67">
        <f t="shared" si="2"/>
        <v>12018.078571428758</v>
      </c>
      <c r="P41" s="7">
        <f t="shared" si="5"/>
        <v>420632.75000000652</v>
      </c>
      <c r="Q41" s="164">
        <f>Q40+N41-3</f>
        <v>173213.45000000019</v>
      </c>
      <c r="R41" s="29">
        <f t="shared" si="3"/>
        <v>107.24796237731415</v>
      </c>
      <c r="S41" s="5">
        <f>SUM($Q$7:$Q41)/T41+1</f>
        <v>177846.07857142875</v>
      </c>
      <c r="T41" s="18">
        <v>35</v>
      </c>
      <c r="U41" s="138">
        <f>B40+8</f>
        <v>45048</v>
      </c>
      <c r="V41" s="137"/>
      <c r="W41" s="105">
        <v>-3095331</v>
      </c>
      <c r="X41" s="167"/>
      <c r="Y41" s="156">
        <f>Y40-K41-L41+1</f>
        <v>-3095331</v>
      </c>
      <c r="Z41" s="217"/>
      <c r="AD41" s="1"/>
      <c r="AE41" s="1"/>
    </row>
    <row r="42" spans="2:31">
      <c r="B42" s="116">
        <v>45042</v>
      </c>
      <c r="C42" s="14" t="str">
        <f t="shared" si="0"/>
        <v/>
      </c>
      <c r="D42" s="87">
        <f>-1535+1933</f>
        <v>398</v>
      </c>
      <c r="E42" s="87">
        <v>57</v>
      </c>
      <c r="F42" s="23">
        <v>-4004338</v>
      </c>
      <c r="G42" s="26">
        <f>D42+E42+F42-E41-F41</f>
        <v>20275</v>
      </c>
      <c r="H42" s="132">
        <v>300</v>
      </c>
      <c r="I42" s="25">
        <v>-20600</v>
      </c>
      <c r="J42" s="25">
        <v>-1000</v>
      </c>
      <c r="K42" s="170">
        <f t="shared" si="8"/>
        <v>-21300</v>
      </c>
      <c r="L42" s="171">
        <v>-28</v>
      </c>
      <c r="M42" s="153"/>
      <c r="N42" s="149">
        <f t="shared" si="9"/>
        <v>-1053</v>
      </c>
      <c r="O42" s="67">
        <f t="shared" si="2"/>
        <v>11860.172222222409</v>
      </c>
      <c r="P42" s="7">
        <f t="shared" si="5"/>
        <v>426966.20000000671</v>
      </c>
      <c r="Q42" s="164">
        <f>Q41+N42</f>
        <v>172160.45000000019</v>
      </c>
      <c r="R42" s="29">
        <f t="shared" si="3"/>
        <v>107.15153275535492</v>
      </c>
      <c r="S42" s="5">
        <f>SUM($Q$7:$Q42)/T42-1</f>
        <v>177686.17222222241</v>
      </c>
      <c r="T42" s="18">
        <v>36</v>
      </c>
      <c r="U42" s="138"/>
      <c r="V42" s="137"/>
      <c r="W42" s="105">
        <v>-3074002</v>
      </c>
      <c r="X42" s="167"/>
      <c r="Y42" s="156">
        <f t="shared" ref="Y42:Y47" si="12">Y41-K42-L42+1</f>
        <v>-3074002</v>
      </c>
      <c r="Z42" s="217"/>
      <c r="AD42" s="1"/>
      <c r="AE42" s="1"/>
    </row>
    <row r="43" spans="2:31">
      <c r="B43" s="116">
        <v>45043</v>
      </c>
      <c r="C43" s="14" t="str">
        <f t="shared" si="0"/>
        <v/>
      </c>
      <c r="D43" s="87">
        <f>-775+716</f>
        <v>-59</v>
      </c>
      <c r="E43" s="87">
        <v>14</v>
      </c>
      <c r="F43" s="23">
        <v>-3996644</v>
      </c>
      <c r="G43" s="26">
        <f>D43+E43+F43-E42-F42</f>
        <v>7592</v>
      </c>
      <c r="H43" s="132">
        <v>300</v>
      </c>
      <c r="I43" s="25">
        <v>-7900</v>
      </c>
      <c r="J43" s="25">
        <v>-1000</v>
      </c>
      <c r="K43" s="170">
        <f t="shared" si="8"/>
        <v>-8600</v>
      </c>
      <c r="L43" s="171">
        <v>43</v>
      </c>
      <c r="M43" s="153"/>
      <c r="N43" s="149">
        <f t="shared" si="9"/>
        <v>-965</v>
      </c>
      <c r="O43" s="67">
        <f t="shared" si="2"/>
        <v>11684.801351351538</v>
      </c>
      <c r="P43" s="7">
        <f t="shared" si="5"/>
        <v>432337.65000000689</v>
      </c>
      <c r="Q43" s="164">
        <f>Q42+N43+3</f>
        <v>171198.45000000019</v>
      </c>
      <c r="R43" s="29">
        <f t="shared" si="3"/>
        <v>106.98969489368531</v>
      </c>
      <c r="S43" s="5">
        <f>SUM($Q$7:$Q43)/T43-94</f>
        <v>177417.80135135155</v>
      </c>
      <c r="T43" s="18">
        <v>37</v>
      </c>
      <c r="U43" s="138"/>
      <c r="V43" s="137"/>
      <c r="W43" s="105">
        <v>-3065447</v>
      </c>
      <c r="X43" s="167"/>
      <c r="Y43" s="156">
        <f>Y42-K43-L43-2</f>
        <v>-3065447</v>
      </c>
      <c r="Z43" s="217"/>
      <c r="AD43" s="1"/>
      <c r="AE43" s="1"/>
    </row>
    <row r="44" spans="2:31">
      <c r="B44" s="116">
        <v>45044</v>
      </c>
      <c r="C44" s="14" t="str">
        <f t="shared" si="0"/>
        <v/>
      </c>
      <c r="D44" s="87"/>
      <c r="E44" s="87">
        <v>180</v>
      </c>
      <c r="F44" s="23">
        <v>-3981926</v>
      </c>
      <c r="G44" s="26">
        <f>D44+E44+F44-E43-F43</f>
        <v>14884</v>
      </c>
      <c r="H44" s="132">
        <v>300</v>
      </c>
      <c r="I44" s="25">
        <v>-4100</v>
      </c>
      <c r="J44" s="25">
        <v>-1000</v>
      </c>
      <c r="K44" s="170">
        <f t="shared" si="8"/>
        <v>-4800</v>
      </c>
      <c r="L44" s="171">
        <v>-46</v>
      </c>
      <c r="M44" s="153"/>
      <c r="N44" s="149">
        <f t="shared" si="9"/>
        <v>10038</v>
      </c>
      <c r="O44" s="67">
        <f t="shared" si="2"/>
        <v>11782.792105263345</v>
      </c>
      <c r="P44" s="7">
        <f t="shared" si="5"/>
        <v>447746.10000000708</v>
      </c>
      <c r="Q44" s="164">
        <f>Q43+N44-1</f>
        <v>181235.45000000019</v>
      </c>
      <c r="R44" s="29">
        <f t="shared" si="3"/>
        <v>107.10607567239552</v>
      </c>
      <c r="S44" s="5">
        <f>SUM($Q$7:$Q44)/T44+1</f>
        <v>177610.79210526333</v>
      </c>
      <c r="T44" s="18">
        <v>38</v>
      </c>
      <c r="U44" s="138"/>
      <c r="V44" s="137"/>
      <c r="W44" s="105">
        <v>-3060600</v>
      </c>
      <c r="X44" s="167"/>
      <c r="Y44" s="156">
        <f>Y43-K44-L44+1</f>
        <v>-3060600</v>
      </c>
      <c r="Z44" s="217"/>
      <c r="AD44" s="1"/>
      <c r="AE44" s="1"/>
    </row>
    <row r="45" spans="2:31">
      <c r="B45" s="116">
        <v>45045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11875.757692307878</v>
      </c>
      <c r="P45" s="7">
        <f t="shared" si="5"/>
        <v>463154.55000000726</v>
      </c>
      <c r="Q45" s="164">
        <f t="shared" ref="Q45:Q46" si="13">Q44+N45</f>
        <v>181235.45000000019</v>
      </c>
      <c r="R45" s="29">
        <f t="shared" si="3"/>
        <v>107.16213746392799</v>
      </c>
      <c r="S45" s="5">
        <f>SUM($Q$7:$Q45)/T45+1</f>
        <v>177703.75769230787</v>
      </c>
      <c r="T45" s="18">
        <v>39</v>
      </c>
      <c r="U45" s="138"/>
      <c r="V45" s="137"/>
      <c r="W45" s="105">
        <v>-3060600</v>
      </c>
      <c r="X45" s="167"/>
      <c r="Y45" s="156">
        <f>Y44-K45-L45</f>
        <v>-3060600</v>
      </c>
      <c r="Z45" s="217"/>
      <c r="AD45" s="1"/>
      <c r="AE45" s="1"/>
    </row>
    <row r="46" spans="2:31">
      <c r="B46" s="116">
        <v>45046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11964.075000000186</v>
      </c>
      <c r="P46" s="7">
        <f t="shared" si="5"/>
        <v>478563.00000000745</v>
      </c>
      <c r="Q46" s="164">
        <f t="shared" si="13"/>
        <v>181235.45000000019</v>
      </c>
      <c r="R46" s="29">
        <f t="shared" si="3"/>
        <v>107.21539616588383</v>
      </c>
      <c r="S46" s="5">
        <f>SUM($Q$7:$Q46)/T46+1</f>
        <v>177792.07500000019</v>
      </c>
      <c r="T46" s="18">
        <v>40</v>
      </c>
      <c r="U46" s="138"/>
      <c r="V46" s="137"/>
      <c r="W46" s="105">
        <v>-3060600</v>
      </c>
      <c r="X46" s="167"/>
      <c r="Y46" s="156">
        <f>Y45-K46-L46</f>
        <v>-3060600</v>
      </c>
      <c r="Z46" s="217"/>
      <c r="AD46" s="1"/>
      <c r="AE46" s="1"/>
    </row>
    <row r="47" spans="2:31">
      <c r="B47" s="116">
        <v>45047</v>
      </c>
      <c r="C47" s="14" t="s">
        <v>242</v>
      </c>
      <c r="D47" s="87"/>
      <c r="E47" s="87"/>
      <c r="F47" s="23"/>
      <c r="G47" s="26"/>
      <c r="H47" s="132"/>
      <c r="I47" s="25"/>
      <c r="J47" s="25"/>
      <c r="K47" s="170"/>
      <c r="L47" s="171"/>
      <c r="M47" s="153"/>
      <c r="N47" s="149">
        <f t="shared" si="9"/>
        <v>0</v>
      </c>
      <c r="O47" s="67">
        <f t="shared" si="2"/>
        <v>12048.084146341649</v>
      </c>
      <c r="P47" s="7">
        <f t="shared" si="5"/>
        <v>493971.45000000764</v>
      </c>
      <c r="Q47" s="164">
        <f>Q46+N47</f>
        <v>181235.45000000019</v>
      </c>
      <c r="R47" s="29">
        <f t="shared" si="3"/>
        <v>115.98779700913701</v>
      </c>
      <c r="S47" s="5">
        <f>SUM($Q$7:$Q47)/T47+1+14465-2</f>
        <v>192339.08414634166</v>
      </c>
      <c r="T47" s="18">
        <v>41</v>
      </c>
      <c r="U47" s="138">
        <f>B47</f>
        <v>45047</v>
      </c>
      <c r="V47" s="137">
        <v>1785.4</v>
      </c>
      <c r="W47" s="105">
        <v>-3060600</v>
      </c>
      <c r="X47" s="167">
        <f>AVERAGE(W47:W55)</f>
        <v>-3153955.3333333335</v>
      </c>
      <c r="Y47" s="156">
        <f t="shared" si="12"/>
        <v>-3060599</v>
      </c>
      <c r="Z47" s="217">
        <f>AVERAGE(Y47:Y55)</f>
        <v>-3153955.3333333335</v>
      </c>
      <c r="AD47" s="1"/>
      <c r="AE47" s="1"/>
    </row>
    <row r="48" spans="2:31">
      <c r="B48" s="116">
        <v>45048</v>
      </c>
      <c r="C48" s="14" t="str">
        <f t="shared" si="0"/>
        <v/>
      </c>
      <c r="D48" s="87"/>
      <c r="E48" s="87">
        <v>130</v>
      </c>
      <c r="F48" s="23">
        <v>-4069682</v>
      </c>
      <c r="G48" s="26">
        <f>D48+E48+F48-E44-F44</f>
        <v>-87806</v>
      </c>
      <c r="H48" s="132">
        <v>10300</v>
      </c>
      <c r="I48" s="25">
        <v>79100</v>
      </c>
      <c r="J48" s="25">
        <v>100</v>
      </c>
      <c r="K48" s="170">
        <f t="shared" si="8"/>
        <v>89500</v>
      </c>
      <c r="L48" s="171">
        <v>48</v>
      </c>
      <c r="M48" s="153"/>
      <c r="N48" s="149">
        <f t="shared" si="9"/>
        <v>1742</v>
      </c>
      <c r="O48" s="67">
        <f t="shared" si="2"/>
        <v>12169.521428571616</v>
      </c>
      <c r="P48" s="7">
        <f t="shared" si="5"/>
        <v>511119.90000000782</v>
      </c>
      <c r="Q48" s="164">
        <f>Q47+N48-2</f>
        <v>182975.45000000019</v>
      </c>
      <c r="R48" s="29">
        <f t="shared" si="3"/>
        <v>107.46713226951678</v>
      </c>
      <c r="S48" s="5">
        <f>SUM($Q$7:$Q48)/T48+213</f>
        <v>178209.52142857161</v>
      </c>
      <c r="T48" s="18">
        <v>42</v>
      </c>
      <c r="U48" s="138">
        <f>B47+8</f>
        <v>45055</v>
      </c>
      <c r="V48" s="137"/>
      <c r="W48" s="105">
        <v>-3150147</v>
      </c>
      <c r="X48" s="167"/>
      <c r="Y48" s="156">
        <f>Y47-K48-L48</f>
        <v>-3150147</v>
      </c>
      <c r="Z48" s="217"/>
      <c r="AD48" s="1"/>
      <c r="AE48" s="1"/>
    </row>
    <row r="49" spans="2:31">
      <c r="B49" s="116">
        <v>45049</v>
      </c>
      <c r="C49" s="14" t="str">
        <f t="shared" ref="C49:C55" si="14">IF(OR(WEEKDAY(B49)=1,WEEKDAY(B49)=7),"F","")</f>
        <v/>
      </c>
      <c r="D49" s="87">
        <f>-1933+1176</f>
        <v>-757</v>
      </c>
      <c r="E49" s="87">
        <v>60</v>
      </c>
      <c r="F49" s="23">
        <v>-4072374</v>
      </c>
      <c r="G49" s="26">
        <f>D49+E49+F49-E48-F48</f>
        <v>-3519</v>
      </c>
      <c r="H49" s="132">
        <v>300</v>
      </c>
      <c r="I49" s="25">
        <v>9800</v>
      </c>
      <c r="J49" s="25">
        <v>100</v>
      </c>
      <c r="K49" s="170">
        <f t="shared" ref="K49:K55" si="15">+H49+I49+J49</f>
        <v>10200</v>
      </c>
      <c r="L49" s="171">
        <v>16</v>
      </c>
      <c r="M49" s="153"/>
      <c r="N49" s="149">
        <f t="shared" ref="N49:N55" si="16">L49+K49+G49+M49</f>
        <v>6697</v>
      </c>
      <c r="O49" s="67">
        <f t="shared" ref="O49:O55" si="17">P49/T49</f>
        <v>12441.054651162976</v>
      </c>
      <c r="P49" s="7">
        <f t="shared" si="5"/>
        <v>534965.35000000801</v>
      </c>
      <c r="Q49" s="164">
        <f>Q48+N49</f>
        <v>189672.45000000019</v>
      </c>
      <c r="R49" s="29">
        <f t="shared" si="3"/>
        <v>107.63087714977837</v>
      </c>
      <c r="S49" s="5">
        <f>SUM($Q$7:$Q49)/T49+213</f>
        <v>178481.05465116297</v>
      </c>
      <c r="T49" s="18">
        <v>43</v>
      </c>
      <c r="U49" s="138"/>
      <c r="V49" s="137"/>
      <c r="W49" s="105">
        <v>-3160362</v>
      </c>
      <c r="X49" s="167"/>
      <c r="Y49" s="156">
        <f>Y48-K49-L49+1</f>
        <v>-3160362</v>
      </c>
      <c r="Z49" s="217"/>
      <c r="AD49" s="1"/>
      <c r="AE49" s="1"/>
    </row>
    <row r="50" spans="2:31">
      <c r="B50" s="116">
        <v>45050</v>
      </c>
      <c r="C50" s="14" t="str">
        <f t="shared" si="14"/>
        <v/>
      </c>
      <c r="D50" s="87"/>
      <c r="E50" s="87">
        <v>0</v>
      </c>
      <c r="F50" s="23">
        <v>-4057595</v>
      </c>
      <c r="G50" s="26">
        <f t="shared" ref="G50:G51" si="18">D50+E50+F50-E49-F49</f>
        <v>14719</v>
      </c>
      <c r="H50" s="132">
        <v>300</v>
      </c>
      <c r="I50" s="25">
        <v>5700</v>
      </c>
      <c r="J50" s="25">
        <v>-100</v>
      </c>
      <c r="K50" s="170">
        <f t="shared" si="15"/>
        <v>5900</v>
      </c>
      <c r="L50" s="171">
        <v>46</v>
      </c>
      <c r="M50" s="153"/>
      <c r="N50" s="149">
        <f t="shared" si="16"/>
        <v>20665</v>
      </c>
      <c r="O50" s="67">
        <f t="shared" si="17"/>
        <v>13169.859090909276</v>
      </c>
      <c r="P50" s="7">
        <f t="shared" si="5"/>
        <v>579473.8000000082</v>
      </c>
      <c r="Q50" s="164">
        <f t="shared" ref="Q50" si="19">Q49+N50-2</f>
        <v>210335.45000000019</v>
      </c>
      <c r="R50" s="29">
        <f t="shared" si="3"/>
        <v>108.07037399875128</v>
      </c>
      <c r="S50" s="5">
        <f>SUM($Q$7:$Q50)/T50+213</f>
        <v>179209.85909090927</v>
      </c>
      <c r="T50" s="18">
        <v>44</v>
      </c>
      <c r="U50" s="138"/>
      <c r="V50" s="137"/>
      <c r="W50" s="105">
        <v>-3166307</v>
      </c>
      <c r="X50" s="167"/>
      <c r="Y50" s="156">
        <f>Y49-K50-L50+1</f>
        <v>-3166307</v>
      </c>
      <c r="Z50" s="217"/>
      <c r="AD50" s="1"/>
      <c r="AE50" s="1"/>
    </row>
    <row r="51" spans="2:31">
      <c r="B51" s="116">
        <v>45051</v>
      </c>
      <c r="C51" s="14" t="str">
        <f t="shared" si="14"/>
        <v/>
      </c>
      <c r="D51" s="87"/>
      <c r="E51" s="87">
        <v>2</v>
      </c>
      <c r="F51" s="23">
        <v>-4066148</v>
      </c>
      <c r="G51" s="26">
        <f t="shared" si="18"/>
        <v>-8551</v>
      </c>
      <c r="H51" s="132">
        <v>300</v>
      </c>
      <c r="I51" s="25">
        <v>2800</v>
      </c>
      <c r="J51" s="25">
        <v>-100</v>
      </c>
      <c r="K51" s="170">
        <f t="shared" si="15"/>
        <v>3000</v>
      </c>
      <c r="L51" s="171">
        <v>-3</v>
      </c>
      <c r="M51" s="153"/>
      <c r="N51" s="149">
        <f t="shared" si="16"/>
        <v>-5554</v>
      </c>
      <c r="O51" s="67">
        <f t="shared" si="17"/>
        <v>13742.850000000186</v>
      </c>
      <c r="P51" s="7">
        <f t="shared" si="5"/>
        <v>618428.25000000838</v>
      </c>
      <c r="Q51" s="164">
        <f>Q50+N51</f>
        <v>204781.45000000019</v>
      </c>
      <c r="R51" s="29">
        <f t="shared" si="3"/>
        <v>108.41590935131202</v>
      </c>
      <c r="S51" s="5">
        <f>SUM($Q$7:$Q51)/T51+213</f>
        <v>179782.85000000018</v>
      </c>
      <c r="T51" s="18">
        <v>45</v>
      </c>
      <c r="U51" s="138"/>
      <c r="V51" s="137"/>
      <c r="W51" s="105">
        <v>-3169303</v>
      </c>
      <c r="X51" s="167"/>
      <c r="Y51" s="156">
        <f>Y50-K51-L51+1</f>
        <v>-3169303</v>
      </c>
      <c r="Z51" s="217"/>
      <c r="AD51" s="1"/>
      <c r="AE51" s="1"/>
    </row>
    <row r="52" spans="2:31">
      <c r="B52" s="116">
        <v>45052</v>
      </c>
      <c r="C52" s="14" t="str">
        <f t="shared" si="14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16"/>
        <v>0</v>
      </c>
      <c r="O52" s="67">
        <f t="shared" si="17"/>
        <v>14290.928260869752</v>
      </c>
      <c r="P52" s="7">
        <f t="shared" si="5"/>
        <v>657382.70000000857</v>
      </c>
      <c r="Q52" s="164">
        <f>Q51+N52</f>
        <v>204781.45000000019</v>
      </c>
      <c r="R52" s="29">
        <f t="shared" si="3"/>
        <v>108.74642142767448</v>
      </c>
      <c r="S52" s="5">
        <f>SUM($Q$7:$Q52)/T52+213</f>
        <v>180330.92826086975</v>
      </c>
      <c r="T52" s="18">
        <v>46</v>
      </c>
      <c r="U52" s="138"/>
      <c r="V52" s="137"/>
      <c r="W52" s="105">
        <v>-3169303</v>
      </c>
      <c r="X52" s="167"/>
      <c r="Y52" s="156">
        <f>Y51-K52-L52</f>
        <v>-3169303</v>
      </c>
      <c r="Z52" s="217"/>
      <c r="AD52" s="1"/>
      <c r="AE52" s="1"/>
    </row>
    <row r="53" spans="2:31">
      <c r="B53" s="116">
        <v>45053</v>
      </c>
      <c r="C53" s="14" t="str">
        <f t="shared" si="14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16"/>
        <v>0</v>
      </c>
      <c r="O53" s="67">
        <f t="shared" si="17"/>
        <v>14815.684042553377</v>
      </c>
      <c r="P53" s="7">
        <f t="shared" si="5"/>
        <v>696337.15000000875</v>
      </c>
      <c r="Q53" s="164">
        <f>Q52+N53</f>
        <v>204781.45000000019</v>
      </c>
      <c r="R53" s="29">
        <f t="shared" si="3"/>
        <v>109.06286916036194</v>
      </c>
      <c r="S53" s="5">
        <f>SUM($Q$7:$Q53)/T53+213</f>
        <v>180855.68404255339</v>
      </c>
      <c r="T53" s="18">
        <v>47</v>
      </c>
      <c r="U53" s="138"/>
      <c r="V53" s="137"/>
      <c r="W53" s="105">
        <v>-3169303</v>
      </c>
      <c r="X53" s="167"/>
      <c r="Y53" s="156">
        <f>Y52-K53-L53</f>
        <v>-3169303</v>
      </c>
      <c r="Z53" s="217"/>
      <c r="AD53" s="1"/>
      <c r="AE53" s="1"/>
    </row>
    <row r="54" spans="2:31">
      <c r="B54" s="116">
        <v>45054</v>
      </c>
      <c r="C54" s="14" t="str">
        <f t="shared" si="14"/>
        <v/>
      </c>
      <c r="D54" s="87"/>
      <c r="E54" s="87">
        <v>2</v>
      </c>
      <c r="F54" s="23">
        <v>-4026366</v>
      </c>
      <c r="G54" s="26">
        <f>D54+E54+F54-E51-F51</f>
        <v>39782</v>
      </c>
      <c r="H54" s="132">
        <v>300</v>
      </c>
      <c r="I54" s="25">
        <v>-7800</v>
      </c>
      <c r="J54" s="25">
        <v>300</v>
      </c>
      <c r="K54" s="170">
        <f>+H54+I54+J54</f>
        <v>-7200</v>
      </c>
      <c r="L54" s="171">
        <v>14</v>
      </c>
      <c r="M54" s="153"/>
      <c r="N54" s="149">
        <f t="shared" si="16"/>
        <v>32596</v>
      </c>
      <c r="O54" s="67">
        <f t="shared" si="17"/>
        <v>15997.575000000186</v>
      </c>
      <c r="P54" s="7">
        <f t="shared" si="5"/>
        <v>767883.60000000894</v>
      </c>
      <c r="Q54" s="164">
        <f>Q53+N54-4</f>
        <v>237373.45000000019</v>
      </c>
      <c r="R54" s="29">
        <f t="shared" si="3"/>
        <v>109.77559444481308</v>
      </c>
      <c r="S54" s="5">
        <f>SUM($Q$7:$Q54)/T54+213</f>
        <v>182037.57500000019</v>
      </c>
      <c r="T54" s="18">
        <v>48</v>
      </c>
      <c r="U54" s="138"/>
      <c r="V54" s="137"/>
      <c r="W54" s="105">
        <v>-3162114</v>
      </c>
      <c r="X54" s="167"/>
      <c r="Y54" s="156">
        <f>Y53-K54-L54+2</f>
        <v>-3162115</v>
      </c>
      <c r="Z54" s="217"/>
      <c r="AD54" s="1"/>
      <c r="AE54" s="1"/>
    </row>
    <row r="55" spans="2:31">
      <c r="B55" s="116">
        <v>45055</v>
      </c>
      <c r="C55" s="14" t="str">
        <f t="shared" si="14"/>
        <v/>
      </c>
      <c r="D55" s="87"/>
      <c r="E55" s="87">
        <v>13</v>
      </c>
      <c r="F55" s="23">
        <v>-4046278</v>
      </c>
      <c r="G55" s="26">
        <f>D55+E55+F55-E54-F54</f>
        <v>-19901</v>
      </c>
      <c r="H55" s="132">
        <v>300</v>
      </c>
      <c r="I55" s="25">
        <v>15400</v>
      </c>
      <c r="J55" s="25">
        <v>300</v>
      </c>
      <c r="K55" s="170">
        <f t="shared" si="15"/>
        <v>16000</v>
      </c>
      <c r="L55" s="171">
        <v>46</v>
      </c>
      <c r="M55" s="153"/>
      <c r="N55" s="149">
        <f t="shared" si="16"/>
        <v>-3855</v>
      </c>
      <c r="O55" s="67">
        <f t="shared" si="17"/>
        <v>17052.531632653248</v>
      </c>
      <c r="P55" s="7">
        <f t="shared" si="5"/>
        <v>835574.05000000913</v>
      </c>
      <c r="Q55" s="164">
        <f>Q54+N55-1</f>
        <v>233517.45000000019</v>
      </c>
      <c r="R55" s="29">
        <f t="shared" si="3"/>
        <v>110.23327421508755</v>
      </c>
      <c r="S55" s="5">
        <f>SUM($Q$7:$Q55)/T55-83</f>
        <v>182796.53163265323</v>
      </c>
      <c r="T55" s="18">
        <v>49</v>
      </c>
      <c r="U55" s="138"/>
      <c r="V55" s="137"/>
      <c r="W55" s="105">
        <v>-3178159</v>
      </c>
      <c r="X55" s="167"/>
      <c r="Y55" s="156">
        <f t="shared" ref="Y55" si="20">Y54-K55-L55+2</f>
        <v>-3178159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'MARCH 2023'!Q48</f>
        <v>209908.45000000019</v>
      </c>
    </row>
    <row r="60" spans="2:31">
      <c r="D60" s="138" t="s">
        <v>4</v>
      </c>
      <c r="E60" s="139"/>
      <c r="F60" s="143"/>
      <c r="G60" s="91">
        <f>'MARCH 2023'!E48</f>
        <v>192</v>
      </c>
    </row>
    <row r="61" spans="2:31">
      <c r="D61" s="138" t="s">
        <v>60</v>
      </c>
      <c r="E61" s="144"/>
      <c r="F61" s="143"/>
      <c r="G61" s="91">
        <f>'MARCH 2023'!F48</f>
        <v>-3990905</v>
      </c>
    </row>
    <row r="62" spans="2:31" ht="12.75" thickBot="1">
      <c r="D62" s="140" t="s">
        <v>46</v>
      </c>
      <c r="E62" s="145"/>
      <c r="F62" s="146"/>
      <c r="G62" s="158">
        <f>'MARCH 2023'!Y48</f>
        <v>-2978709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885D-10C4-489A-9F4E-6A57365A97FB}">
  <sheetPr codeName="Sheet40">
    <pageSetUpPr fitToPage="1"/>
  </sheetPr>
  <dimension ref="B1:IU65506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164799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45056</v>
      </c>
      <c r="C7" s="196" t="str">
        <f t="shared" ref="C7:C48" si="0">IF(OR(WEEKDAY(B7)=1,WEEKDAY(B7)=7),"F","")</f>
        <v/>
      </c>
      <c r="D7" s="197">
        <f>-1176+1327</f>
        <v>151</v>
      </c>
      <c r="E7" s="197">
        <v>0</v>
      </c>
      <c r="F7" s="198">
        <v>-3930578</v>
      </c>
      <c r="G7" s="199">
        <f>D7+E7+F7-G53-G54</f>
        <v>115838</v>
      </c>
      <c r="H7" s="132">
        <v>300</v>
      </c>
      <c r="I7" s="63">
        <v>-3500</v>
      </c>
      <c r="J7" s="63">
        <v>300</v>
      </c>
      <c r="K7" s="170">
        <f t="shared" ref="K7:K9" si="1">+H7+I7+J7</f>
        <v>-2900</v>
      </c>
      <c r="L7" s="169">
        <v>21</v>
      </c>
      <c r="M7" s="203"/>
      <c r="N7" s="204">
        <f>L7+K7+G7+M7</f>
        <v>112959</v>
      </c>
      <c r="O7" s="205">
        <f t="shared" ref="O7:O48" si="2">P7/T7</f>
        <v>181677.45000000019</v>
      </c>
      <c r="P7" s="206">
        <f>(+$Q7-$Q$3)</f>
        <v>181677.45000000019</v>
      </c>
      <c r="Q7" s="207">
        <f>G52+N7</f>
        <v>346476.45000000019</v>
      </c>
      <c r="R7" s="208">
        <f t="shared" ref="R7:R48" si="3">$S7/$Q$3*100</f>
        <v>210.2418400597092</v>
      </c>
      <c r="S7" s="209">
        <f>$Q7</f>
        <v>346476.45000000019</v>
      </c>
      <c r="T7" s="210">
        <v>1</v>
      </c>
      <c r="U7" s="211">
        <f>B7</f>
        <v>45056</v>
      </c>
      <c r="V7" s="212">
        <v>1756.8</v>
      </c>
      <c r="W7" s="213">
        <v>-3175280</v>
      </c>
      <c r="X7" s="214">
        <f>AVERAGE(W7:W11)</f>
        <v>-3193183.4</v>
      </c>
      <c r="Y7" s="215">
        <f>G55-K7-L7</f>
        <v>-3175280</v>
      </c>
      <c r="Z7" s="216">
        <f>AVERAGE(Y7:Y13)</f>
        <v>-3192196.2857142859</v>
      </c>
      <c r="AA7" s="92"/>
    </row>
    <row r="8" spans="2:255">
      <c r="B8" s="116">
        <v>45057</v>
      </c>
      <c r="C8" s="14"/>
      <c r="D8" s="87"/>
      <c r="E8" s="128">
        <v>0</v>
      </c>
      <c r="F8" s="162">
        <v>-4086241</v>
      </c>
      <c r="G8" s="26">
        <f>D8+E8+F8-E7-F7</f>
        <v>-155663</v>
      </c>
      <c r="H8" s="132">
        <v>1600</v>
      </c>
      <c r="I8" s="63">
        <v>13000</v>
      </c>
      <c r="J8" s="63">
        <v>300</v>
      </c>
      <c r="K8" s="170">
        <f t="shared" si="1"/>
        <v>14900</v>
      </c>
      <c r="L8" s="171">
        <v>-34</v>
      </c>
      <c r="M8" s="153"/>
      <c r="N8" s="149">
        <f>L8+K8+G8+M8</f>
        <v>-140797</v>
      </c>
      <c r="O8" s="67">
        <f t="shared" si="2"/>
        <v>110521.45000000019</v>
      </c>
      <c r="P8" s="163">
        <f>(IF($Q8&lt;0,-$Q$3+P7,($Q8-$Q$3)+P7))</f>
        <v>221042.90000000037</v>
      </c>
      <c r="Q8" s="164">
        <f>Q7+N8-1515</f>
        <v>204164.45000000019</v>
      </c>
      <c r="R8" s="29">
        <f t="shared" si="3"/>
        <v>167.06439359462144</v>
      </c>
      <c r="S8" s="165">
        <f>SUM($Q$7:$Q8)/T8</f>
        <v>275320.45000000019</v>
      </c>
      <c r="T8" s="166">
        <v>2</v>
      </c>
      <c r="U8" s="138">
        <f>B7+6</f>
        <v>45062</v>
      </c>
      <c r="V8" s="131"/>
      <c r="W8" s="105">
        <v>-3188630</v>
      </c>
      <c r="X8" s="167"/>
      <c r="Y8" s="156">
        <f>Y7-K8-L8+1516</f>
        <v>-3188630</v>
      </c>
      <c r="Z8" s="217"/>
      <c r="AA8" s="92"/>
    </row>
    <row r="9" spans="2:255">
      <c r="B9" s="116">
        <v>45058</v>
      </c>
      <c r="C9" s="14" t="str">
        <f t="shared" si="0"/>
        <v/>
      </c>
      <c r="D9" s="87"/>
      <c r="E9" s="87">
        <v>0</v>
      </c>
      <c r="F9" s="23">
        <v>-4131224</v>
      </c>
      <c r="G9" s="26">
        <f>D9+E9+F9-E8-F8</f>
        <v>-44983</v>
      </c>
      <c r="H9" s="132">
        <v>300</v>
      </c>
      <c r="I9" s="63">
        <v>11500</v>
      </c>
      <c r="J9" s="63">
        <v>200</v>
      </c>
      <c r="K9" s="170">
        <f t="shared" si="1"/>
        <v>12000</v>
      </c>
      <c r="L9" s="171">
        <v>40</v>
      </c>
      <c r="M9" s="153"/>
      <c r="N9" s="149">
        <f>L9+K9+G9+M9</f>
        <v>-32943</v>
      </c>
      <c r="O9" s="67">
        <f t="shared" si="2"/>
        <v>75821.116666666858</v>
      </c>
      <c r="P9" s="163">
        <f t="shared" ref="P9" si="4">(IF($Q9&lt;0,-$Q$3+P8,($Q9-$Q$3)+P8))</f>
        <v>227463.35000000056</v>
      </c>
      <c r="Q9" s="164">
        <f>Q8+N9-2</f>
        <v>171219.45000000019</v>
      </c>
      <c r="R9" s="29">
        <f t="shared" si="3"/>
        <v>146.00884511839686</v>
      </c>
      <c r="S9" s="5">
        <f>SUM($Q$7:$Q9)/T9+1</f>
        <v>240621.11666666684</v>
      </c>
      <c r="T9" s="17">
        <v>3</v>
      </c>
      <c r="U9" s="4"/>
      <c r="V9" s="131"/>
      <c r="W9" s="105">
        <v>-3200669</v>
      </c>
      <c r="X9" s="167"/>
      <c r="Y9" s="156">
        <f>Y8-K9-L9+1</f>
        <v>-3200669</v>
      </c>
      <c r="Z9" s="217"/>
      <c r="AA9" s="92"/>
    </row>
    <row r="10" spans="2:255">
      <c r="B10" s="116">
        <v>45059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58470.950000000186</v>
      </c>
      <c r="P10" s="163">
        <f>(IF($Q10&lt;0,-$Q$3+P9,($Q10-$Q$3)+P9))</f>
        <v>233883.80000000075</v>
      </c>
      <c r="Q10" s="164">
        <f>Q9+N10</f>
        <v>171219.45000000019</v>
      </c>
      <c r="R10" s="29">
        <f t="shared" si="3"/>
        <v>135.47955388078822</v>
      </c>
      <c r="S10" s="5">
        <f>SUM($Q$7:$Q10)/T10-1</f>
        <v>223268.95000000019</v>
      </c>
      <c r="T10" s="17">
        <v>4</v>
      </c>
      <c r="U10" s="4"/>
      <c r="V10" s="131"/>
      <c r="W10" s="105">
        <v>-3200669</v>
      </c>
      <c r="X10" s="167"/>
      <c r="Y10" s="156">
        <f>Y9-K10-L10</f>
        <v>-3200669</v>
      </c>
      <c r="Z10" s="217"/>
      <c r="AA10" s="92"/>
    </row>
    <row r="11" spans="2:255">
      <c r="B11" s="116">
        <v>45060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48060.850000000188</v>
      </c>
      <c r="P11" s="163">
        <f t="shared" ref="P11:P48" si="5">(IF($Q11&lt;0,-$Q$3+P10,($Q11-$Q$3)+P10))</f>
        <v>240304.25000000093</v>
      </c>
      <c r="Q11" s="164">
        <f t="shared" ref="Q11:Q18" si="6">Q10+N11</f>
        <v>171219.45000000019</v>
      </c>
      <c r="R11" s="29">
        <f t="shared" si="3"/>
        <v>129.16270729798129</v>
      </c>
      <c r="S11" s="5">
        <f>SUM($Q$7:$Q11)/T11-1</f>
        <v>212858.85000000018</v>
      </c>
      <c r="T11" s="17">
        <v>5</v>
      </c>
      <c r="U11" s="27"/>
      <c r="V11" s="134"/>
      <c r="W11" s="105">
        <v>-3200669</v>
      </c>
      <c r="X11" s="167"/>
      <c r="Y11" s="156">
        <f t="shared" ref="Y11:Y39" si="7">Y10-K11-L11</f>
        <v>-3200669</v>
      </c>
      <c r="Z11" s="217"/>
      <c r="AA11" s="92"/>
    </row>
    <row r="12" spans="2:255">
      <c r="B12" s="116">
        <v>45061</v>
      </c>
      <c r="C12" s="14"/>
      <c r="D12" s="87"/>
      <c r="E12" s="87">
        <v>0</v>
      </c>
      <c r="F12" s="23">
        <v>-4118370</v>
      </c>
      <c r="G12" s="26">
        <f>D12+E12+F12-E9-F9</f>
        <v>12854</v>
      </c>
      <c r="H12" s="132">
        <v>300</v>
      </c>
      <c r="I12" s="63">
        <v>-16700</v>
      </c>
      <c r="J12" s="63">
        <v>100</v>
      </c>
      <c r="K12" s="170">
        <f t="shared" ref="K12:K48" si="8">+H12+I12+J12</f>
        <v>-16300</v>
      </c>
      <c r="L12" s="171">
        <v>1</v>
      </c>
      <c r="M12" s="153"/>
      <c r="N12" s="149">
        <f t="shared" ref="N12:N48" si="9">L12+K12+G12+M12</f>
        <v>-3445</v>
      </c>
      <c r="O12" s="67">
        <f t="shared" si="2"/>
        <v>40546.783333333522</v>
      </c>
      <c r="P12" s="163">
        <f t="shared" si="5"/>
        <v>243280.70000000112</v>
      </c>
      <c r="Q12" s="164">
        <f>Q11+N12+1</f>
        <v>167775.45000000019</v>
      </c>
      <c r="R12" s="29">
        <f t="shared" si="3"/>
        <v>124.60377995821183</v>
      </c>
      <c r="S12" s="5">
        <f>SUM($Q$7:$Q12)/T12</f>
        <v>205345.78333333353</v>
      </c>
      <c r="T12" s="17">
        <v>6</v>
      </c>
      <c r="U12" s="138">
        <f>B12</f>
        <v>45061</v>
      </c>
      <c r="V12" s="310">
        <v>1731.6</v>
      </c>
      <c r="W12" s="105">
        <v>-3184370</v>
      </c>
      <c r="X12" s="167">
        <f>AVERAGE(W12:W20)</f>
        <v>-3185786.5555555555</v>
      </c>
      <c r="Y12" s="156">
        <f>Y11-K12-L12</f>
        <v>-3184370</v>
      </c>
      <c r="Z12" s="217">
        <f>AVERAGE(Y12:Y20)</f>
        <v>-3185786.5555555555</v>
      </c>
      <c r="AA12" s="92"/>
    </row>
    <row r="13" spans="2:255">
      <c r="B13" s="116">
        <v>45062</v>
      </c>
      <c r="C13" s="14"/>
      <c r="D13" s="87"/>
      <c r="E13" s="87">
        <v>8</v>
      </c>
      <c r="F13" s="23">
        <v>-4131607</v>
      </c>
      <c r="G13" s="26">
        <f>D13+E13+F13-E12-F12</f>
        <v>-13229</v>
      </c>
      <c r="H13" s="132">
        <v>300</v>
      </c>
      <c r="I13" s="63">
        <v>10300</v>
      </c>
      <c r="J13" s="63">
        <v>100</v>
      </c>
      <c r="K13" s="170">
        <f t="shared" si="8"/>
        <v>10700</v>
      </c>
      <c r="L13" s="171">
        <v>16</v>
      </c>
      <c r="M13" s="153"/>
      <c r="N13" s="149">
        <f t="shared" si="9"/>
        <v>-2513</v>
      </c>
      <c r="O13" s="67">
        <f t="shared" si="2"/>
        <v>34820.592857143041</v>
      </c>
      <c r="P13" s="163">
        <f t="shared" si="5"/>
        <v>243744.1500000013</v>
      </c>
      <c r="Q13" s="164">
        <f>Q12+N13</f>
        <v>165262.45000000019</v>
      </c>
      <c r="R13" s="29">
        <f t="shared" si="3"/>
        <v>121.12852193104513</v>
      </c>
      <c r="S13" s="5">
        <f>SUM($Q$7:$Q13)/T13-1</f>
        <v>199618.59285714306</v>
      </c>
      <c r="T13" s="17">
        <v>7</v>
      </c>
      <c r="U13" s="138">
        <f>B12+6</f>
        <v>45067</v>
      </c>
      <c r="V13" s="249"/>
      <c r="W13" s="105">
        <v>-3195087</v>
      </c>
      <c r="X13" s="167"/>
      <c r="Y13" s="156">
        <f>Y12-K13-L13-1</f>
        <v>-3195087</v>
      </c>
      <c r="Z13" s="217"/>
      <c r="AA13" s="92"/>
      <c r="AB13" s="92"/>
    </row>
    <row r="14" spans="2:255">
      <c r="B14" s="116">
        <v>45063</v>
      </c>
      <c r="C14" s="14"/>
      <c r="D14" s="87">
        <f>-1327+1410</f>
        <v>83</v>
      </c>
      <c r="E14" s="87">
        <v>18</v>
      </c>
      <c r="F14" s="23">
        <v>-4136845</v>
      </c>
      <c r="G14" s="26">
        <f>D14+E14+F14-E13-F13</f>
        <v>-5145</v>
      </c>
      <c r="H14" s="132">
        <v>300</v>
      </c>
      <c r="I14" s="63">
        <v>4600</v>
      </c>
      <c r="J14" s="63">
        <v>-100</v>
      </c>
      <c r="K14" s="170">
        <f t="shared" si="8"/>
        <v>4800</v>
      </c>
      <c r="L14" s="171">
        <v>35</v>
      </c>
      <c r="M14" s="154"/>
      <c r="N14" s="149">
        <f>L14+K14+G14+M14</f>
        <v>-310</v>
      </c>
      <c r="O14" s="67">
        <f>P14/T14+1</f>
        <v>30488.450000000186</v>
      </c>
      <c r="P14" s="163">
        <f t="shared" si="5"/>
        <v>243899.60000000149</v>
      </c>
      <c r="Q14" s="164">
        <f>Q13+N14+2</f>
        <v>164954.45000000019</v>
      </c>
      <c r="R14" s="29">
        <f t="shared" si="3"/>
        <v>118.50038531787219</v>
      </c>
      <c r="S14" s="5">
        <f>SUM($Q$7:$Q14)/T14+1</f>
        <v>195287.45000000019</v>
      </c>
      <c r="T14" s="17">
        <v>8</v>
      </c>
      <c r="U14" s="4"/>
      <c r="V14" s="4"/>
      <c r="W14" s="105">
        <v>-3199923</v>
      </c>
      <c r="X14" s="167"/>
      <c r="Y14" s="156">
        <f>Y13-K14-L14-1</f>
        <v>-3199923</v>
      </c>
      <c r="Z14" s="217"/>
      <c r="AA14" s="92"/>
    </row>
    <row r="15" spans="2:255">
      <c r="B15" s="116">
        <v>45064</v>
      </c>
      <c r="C15" s="14" t="str">
        <f t="shared" si="0"/>
        <v/>
      </c>
      <c r="D15" s="87"/>
      <c r="E15" s="87">
        <v>0</v>
      </c>
      <c r="F15" s="23">
        <v>-4080351</v>
      </c>
      <c r="G15" s="26">
        <f>D15+E15+F15-E14-F14</f>
        <v>56476</v>
      </c>
      <c r="H15" s="132">
        <v>300</v>
      </c>
      <c r="I15" s="63">
        <v>-13200</v>
      </c>
      <c r="J15" s="63">
        <v>-100</v>
      </c>
      <c r="K15" s="170">
        <f>+H15+I15+J15</f>
        <v>-13000</v>
      </c>
      <c r="L15" s="172">
        <v>-30</v>
      </c>
      <c r="M15" s="153"/>
      <c r="N15" s="149">
        <f>L15+K15+G15+M15</f>
        <v>43446</v>
      </c>
      <c r="O15" s="67">
        <f t="shared" si="2"/>
        <v>31944.561111111296</v>
      </c>
      <c r="P15" s="7">
        <f t="shared" si="5"/>
        <v>287501.05000000168</v>
      </c>
      <c r="Q15" s="164">
        <f>Q14+N15</f>
        <v>208400.45000000019</v>
      </c>
      <c r="R15" s="29">
        <f t="shared" si="3"/>
        <v>119.3845600465484</v>
      </c>
      <c r="S15" s="5">
        <f>SUM($Q$7:$Q15)/T15+1</f>
        <v>196744.56111111131</v>
      </c>
      <c r="T15" s="17">
        <v>9</v>
      </c>
      <c r="U15" s="4"/>
      <c r="V15" s="4"/>
      <c r="W15" s="105">
        <v>-3186894</v>
      </c>
      <c r="X15" s="167"/>
      <c r="Y15" s="156">
        <f>Y14-K15-L15-1</f>
        <v>-3186894</v>
      </c>
      <c r="Z15" s="217"/>
      <c r="AA15" s="92"/>
      <c r="AB15" s="92"/>
    </row>
    <row r="16" spans="2:255" s="69" customFormat="1">
      <c r="B16" s="116">
        <v>45065</v>
      </c>
      <c r="C16" s="14"/>
      <c r="D16" s="129"/>
      <c r="E16" s="87">
        <v>0</v>
      </c>
      <c r="F16" s="23">
        <v>-4124152</v>
      </c>
      <c r="G16" s="26">
        <f>D16+E16+F16-E15-F15</f>
        <v>-43801</v>
      </c>
      <c r="H16" s="132">
        <v>200</v>
      </c>
      <c r="I16" s="63">
        <v>-8400</v>
      </c>
      <c r="J16" s="63">
        <v>-100</v>
      </c>
      <c r="K16" s="170">
        <f t="shared" si="8"/>
        <v>-8300</v>
      </c>
      <c r="L16" s="172">
        <v>-1</v>
      </c>
      <c r="M16" s="153"/>
      <c r="N16" s="152">
        <f>L16+K16+G16+M16</f>
        <v>-52102</v>
      </c>
      <c r="O16" s="67">
        <f t="shared" si="2"/>
        <v>27900.150000000187</v>
      </c>
      <c r="P16" s="70">
        <f t="shared" si="5"/>
        <v>279001.50000000186</v>
      </c>
      <c r="Q16" s="164">
        <f>Q15+N16+1</f>
        <v>156299.45000000019</v>
      </c>
      <c r="R16" s="71">
        <f t="shared" si="3"/>
        <v>116.92980539930473</v>
      </c>
      <c r="S16" s="72">
        <f>SUM($Q$7:$Q16)/T16</f>
        <v>192699.1500000002</v>
      </c>
      <c r="T16" s="73">
        <v>10</v>
      </c>
      <c r="U16" s="218"/>
      <c r="V16" s="133"/>
      <c r="W16" s="105">
        <v>-3178593</v>
      </c>
      <c r="X16" s="167"/>
      <c r="Y16" s="156">
        <f>Y15-K16-L16</f>
        <v>-3178593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45066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24591.08636363655</v>
      </c>
      <c r="P17" s="7">
        <f t="shared" si="5"/>
        <v>270501.95000000205</v>
      </c>
      <c r="Q17" s="164">
        <f t="shared" si="6"/>
        <v>156299.45000000019</v>
      </c>
      <c r="R17" s="29">
        <f t="shared" si="3"/>
        <v>114.92186625139507</v>
      </c>
      <c r="S17" s="5">
        <f>SUM($Q$7:$Q17)/T17</f>
        <v>189390.08636363654</v>
      </c>
      <c r="T17" s="18">
        <v>11</v>
      </c>
      <c r="U17" s="27"/>
      <c r="V17" s="136"/>
      <c r="W17" s="105">
        <v>-3178593</v>
      </c>
      <c r="X17" s="167"/>
      <c r="Y17" s="156">
        <f t="shared" si="7"/>
        <v>-3178593</v>
      </c>
      <c r="Z17" s="217"/>
      <c r="AA17" s="92"/>
      <c r="AC17" s="92"/>
    </row>
    <row r="18" spans="2:31">
      <c r="B18" s="116">
        <v>45067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21833.533333333518</v>
      </c>
      <c r="P18" s="7">
        <f t="shared" si="5"/>
        <v>262002.40000000224</v>
      </c>
      <c r="Q18" s="164">
        <f t="shared" si="6"/>
        <v>156299.45000000019</v>
      </c>
      <c r="R18" s="29">
        <f t="shared" si="3"/>
        <v>113.24797682833847</v>
      </c>
      <c r="S18" s="5">
        <f>SUM($Q$7:$Q18)/T18-1</f>
        <v>186631.53333333353</v>
      </c>
      <c r="T18" s="18">
        <v>12</v>
      </c>
      <c r="U18" s="27"/>
      <c r="V18" s="136"/>
      <c r="W18" s="105">
        <v>-3178593</v>
      </c>
      <c r="X18" s="167"/>
      <c r="Y18" s="156">
        <f t="shared" si="7"/>
        <v>-3178593</v>
      </c>
      <c r="Z18" s="217"/>
      <c r="AA18" s="92"/>
    </row>
    <row r="19" spans="2:31">
      <c r="B19" s="116">
        <v>45068</v>
      </c>
      <c r="C19" s="14" t="str">
        <f t="shared" si="0"/>
        <v/>
      </c>
      <c r="D19" s="87"/>
      <c r="E19" s="87">
        <v>1</v>
      </c>
      <c r="F19" s="23">
        <v>-4129190</v>
      </c>
      <c r="G19" s="26">
        <f>D19+E19+F19-E16-F16</f>
        <v>-5037</v>
      </c>
      <c r="H19" s="132">
        <v>-300</v>
      </c>
      <c r="I19" s="63">
        <v>7000</v>
      </c>
      <c r="J19" s="63">
        <v>-200</v>
      </c>
      <c r="K19" s="170">
        <f t="shared" si="8"/>
        <v>6500</v>
      </c>
      <c r="L19" s="171">
        <v>-19</v>
      </c>
      <c r="M19" s="153"/>
      <c r="N19" s="149">
        <f t="shared" si="9"/>
        <v>1444</v>
      </c>
      <c r="O19" s="67">
        <f t="shared" si="2"/>
        <v>19611.296153846339</v>
      </c>
      <c r="P19" s="7">
        <f t="shared" si="5"/>
        <v>254946.85000000242</v>
      </c>
      <c r="Q19" s="164">
        <f>Q18+N19</f>
        <v>157743.45000000019</v>
      </c>
      <c r="R19" s="29">
        <f t="shared" si="3"/>
        <v>111.90013055531061</v>
      </c>
      <c r="S19" s="5">
        <f>SUM($Q$7:$Q19)/T19</f>
        <v>184410.29615384634</v>
      </c>
      <c r="T19" s="18">
        <v>13</v>
      </c>
      <c r="U19" s="138">
        <f>B19</f>
        <v>45068</v>
      </c>
      <c r="V19" s="131">
        <v>1705.6</v>
      </c>
      <c r="W19" s="105">
        <v>-3185074</v>
      </c>
      <c r="X19" s="167">
        <f>AVERAGE(W20:W27)</f>
        <v>-3192885.875</v>
      </c>
      <c r="Y19" s="156">
        <f>Y18-K19-L19</f>
        <v>-3185074</v>
      </c>
      <c r="Z19" s="217">
        <f>AVERAGE(Y19:Y27)</f>
        <v>-3192017.888888889</v>
      </c>
      <c r="AA19" s="92"/>
      <c r="AD19" s="309"/>
    </row>
    <row r="20" spans="2:31">
      <c r="B20" s="116">
        <v>45069</v>
      </c>
      <c r="C20" s="14"/>
      <c r="D20" s="87"/>
      <c r="E20" s="87">
        <v>1</v>
      </c>
      <c r="F20" s="23">
        <v>-4112149</v>
      </c>
      <c r="G20" s="26">
        <f>D20+E20+F20-E19-F19</f>
        <v>17041</v>
      </c>
      <c r="H20" s="132">
        <v>-800</v>
      </c>
      <c r="I20" s="63">
        <v>1000</v>
      </c>
      <c r="J20" s="63">
        <v>-300</v>
      </c>
      <c r="K20" s="170">
        <f t="shared" si="8"/>
        <v>-100</v>
      </c>
      <c r="L20" s="171">
        <v>-21</v>
      </c>
      <c r="M20" s="153"/>
      <c r="N20" s="149">
        <f t="shared" si="9"/>
        <v>16920</v>
      </c>
      <c r="O20" s="67">
        <f t="shared" si="2"/>
        <v>18915.021428571614</v>
      </c>
      <c r="P20" s="7">
        <f t="shared" si="5"/>
        <v>264810.30000000261</v>
      </c>
      <c r="Q20" s="164">
        <f>Q19+N20-1</f>
        <v>174662.45000000019</v>
      </c>
      <c r="R20" s="29">
        <f t="shared" si="3"/>
        <v>111.4776311922837</v>
      </c>
      <c r="S20" s="5">
        <f>SUM($Q$7:$Q20)/T20</f>
        <v>183714.02142857161</v>
      </c>
      <c r="T20" s="18">
        <v>14</v>
      </c>
      <c r="U20" s="138">
        <f>B19+8</f>
        <v>45076</v>
      </c>
      <c r="V20" s="131"/>
      <c r="W20" s="105">
        <v>-3184952</v>
      </c>
      <c r="X20" s="167"/>
      <c r="Y20" s="156">
        <f>Y19-K20-L20+1</f>
        <v>-3184952</v>
      </c>
      <c r="Z20" s="217"/>
      <c r="AA20" s="92"/>
      <c r="AB20" s="92"/>
    </row>
    <row r="21" spans="2:31">
      <c r="B21" s="116">
        <v>45070</v>
      </c>
      <c r="C21" s="14" t="str">
        <f t="shared" si="0"/>
        <v/>
      </c>
      <c r="D21" s="87">
        <v>593</v>
      </c>
      <c r="E21" s="87">
        <v>4</v>
      </c>
      <c r="F21" s="23">
        <v>-4132897</v>
      </c>
      <c r="G21" s="26">
        <f>D21+E21+F21-E20-F20</f>
        <v>-20152</v>
      </c>
      <c r="H21" s="132">
        <v>400</v>
      </c>
      <c r="I21" s="63">
        <v>1900</v>
      </c>
      <c r="J21" s="63">
        <v>-300</v>
      </c>
      <c r="K21" s="170">
        <f t="shared" si="8"/>
        <v>2000</v>
      </c>
      <c r="L21" s="171">
        <v>45</v>
      </c>
      <c r="M21" s="153"/>
      <c r="N21" s="149">
        <f>L21+K21+G21+M21</f>
        <v>-18107</v>
      </c>
      <c r="O21" s="67">
        <f t="shared" si="2"/>
        <v>17104.450000000186</v>
      </c>
      <c r="P21" s="7">
        <f t="shared" si="5"/>
        <v>256566.75000000279</v>
      </c>
      <c r="Q21" s="164">
        <f>Q20+N21</f>
        <v>156555.45000000019</v>
      </c>
      <c r="R21" s="29">
        <f t="shared" si="3"/>
        <v>110.37837001438126</v>
      </c>
      <c r="S21" s="5">
        <f>SUM($Q$7:$Q21)/T21-1</f>
        <v>181902.45000000019</v>
      </c>
      <c r="T21" s="18">
        <v>15</v>
      </c>
      <c r="U21" s="4"/>
      <c r="V21" s="131"/>
      <c r="W21" s="105">
        <v>-3186998</v>
      </c>
      <c r="X21" s="167"/>
      <c r="Y21" s="156">
        <f>Y20-K21-L21-1</f>
        <v>-3186998</v>
      </c>
      <c r="Z21" s="217"/>
      <c r="AA21" s="92"/>
    </row>
    <row r="22" spans="2:31">
      <c r="B22" s="116">
        <v>45071</v>
      </c>
      <c r="C22" s="14" t="str">
        <f t="shared" si="0"/>
        <v/>
      </c>
      <c r="D22" s="87"/>
      <c r="E22" s="87">
        <v>1</v>
      </c>
      <c r="F22" s="23">
        <v>-3932953</v>
      </c>
      <c r="G22" s="26">
        <f>D22+E22+F22-E21-F21</f>
        <v>199941</v>
      </c>
      <c r="H22" s="132">
        <v>300</v>
      </c>
      <c r="I22" s="63">
        <v>9600</v>
      </c>
      <c r="J22" s="63">
        <v>-300</v>
      </c>
      <c r="K22" s="170">
        <f t="shared" si="8"/>
        <v>9600</v>
      </c>
      <c r="L22" s="171">
        <v>13</v>
      </c>
      <c r="M22" s="153"/>
      <c r="N22" s="149">
        <f>L22+K22+G22+M22</f>
        <v>209554</v>
      </c>
      <c r="O22" s="67">
        <f t="shared" si="2"/>
        <v>28617.325000000186</v>
      </c>
      <c r="P22" s="7">
        <f t="shared" si="5"/>
        <v>457877.20000000298</v>
      </c>
      <c r="Q22" s="164">
        <f>Q21+N22</f>
        <v>366109.45000000019</v>
      </c>
      <c r="R22" s="29">
        <f t="shared" si="3"/>
        <v>117.3662006444215</v>
      </c>
      <c r="S22" s="5">
        <f>SUM($Q$7:$Q22)/T22+2</f>
        <v>193418.32500000019</v>
      </c>
      <c r="T22" s="18">
        <v>16</v>
      </c>
      <c r="U22" s="4"/>
      <c r="V22" s="131"/>
      <c r="W22" s="105">
        <v>-3196611</v>
      </c>
      <c r="X22" s="167"/>
      <c r="Y22" s="156">
        <f>Y21-K22-L22</f>
        <v>-3196611</v>
      </c>
      <c r="Z22" s="217"/>
      <c r="AA22" s="92"/>
    </row>
    <row r="23" spans="2:31">
      <c r="B23" s="116">
        <v>45072</v>
      </c>
      <c r="C23" s="14"/>
      <c r="D23" s="87"/>
      <c r="E23" s="87">
        <v>103</v>
      </c>
      <c r="F23" s="23">
        <v>-4134596</v>
      </c>
      <c r="G23" s="26">
        <f>D23+E23+F23-E22-F22</f>
        <v>-201541</v>
      </c>
      <c r="H23" s="132">
        <v>200</v>
      </c>
      <c r="I23" s="63">
        <v>-8800</v>
      </c>
      <c r="J23" s="63">
        <v>-300</v>
      </c>
      <c r="K23" s="170">
        <f t="shared" si="8"/>
        <v>-8900</v>
      </c>
      <c r="L23" s="171">
        <v>33</v>
      </c>
      <c r="M23" s="153"/>
      <c r="N23" s="149">
        <f>L23+K23+G23+M23</f>
        <v>-210408</v>
      </c>
      <c r="O23" s="67">
        <f t="shared" si="2"/>
        <v>26398.802941176658</v>
      </c>
      <c r="P23" s="7">
        <f t="shared" si="5"/>
        <v>448779.65000000317</v>
      </c>
      <c r="Q23" s="164">
        <f>Q22+N23</f>
        <v>155701.45000000019</v>
      </c>
      <c r="R23" s="29">
        <f t="shared" si="3"/>
        <v>116.01878830646828</v>
      </c>
      <c r="S23" s="5">
        <f>SUM($Q$7:$Q23)/T23</f>
        <v>191197.80294117666</v>
      </c>
      <c r="T23" s="18">
        <v>17</v>
      </c>
      <c r="U23" s="27"/>
      <c r="V23" s="135"/>
      <c r="W23" s="105">
        <v>-3187744</v>
      </c>
      <c r="X23" s="167"/>
      <c r="Y23" s="156">
        <f>Y22-K23-L23</f>
        <v>-3187744</v>
      </c>
      <c r="Z23" s="217"/>
      <c r="AA23" s="92"/>
    </row>
    <row r="24" spans="2:31">
      <c r="B24" s="116">
        <v>45073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24426.783333333518</v>
      </c>
      <c r="P24" s="7">
        <f t="shared" si="5"/>
        <v>439682.10000000335</v>
      </c>
      <c r="Q24" s="164">
        <f t="shared" ref="Q24:Q25" si="10">Q23+N24</f>
        <v>155701.45000000019</v>
      </c>
      <c r="R24" s="29">
        <f t="shared" si="3"/>
        <v>114.82216720570729</v>
      </c>
      <c r="S24" s="5">
        <f>SUM($Q$7:$Q24)/T24</f>
        <v>189225.78333333353</v>
      </c>
      <c r="T24" s="18">
        <v>18</v>
      </c>
      <c r="U24" s="4"/>
      <c r="V24" s="135"/>
      <c r="W24" s="105">
        <v>-3187744</v>
      </c>
      <c r="X24" s="167"/>
      <c r="Y24" s="156">
        <f t="shared" si="7"/>
        <v>-3187744</v>
      </c>
      <c r="Z24" s="217"/>
      <c r="AA24" s="92"/>
      <c r="AD24" s="1"/>
      <c r="AE24" s="1"/>
    </row>
    <row r="25" spans="2:31">
      <c r="B25" s="116">
        <v>45074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22662.344736842293</v>
      </c>
      <c r="P25" s="7">
        <f t="shared" si="5"/>
        <v>430584.55000000354</v>
      </c>
      <c r="Q25" s="164">
        <f t="shared" si="10"/>
        <v>155701.45000000019</v>
      </c>
      <c r="R25" s="29">
        <f t="shared" si="3"/>
        <v>113.75150622081584</v>
      </c>
      <c r="S25" s="5">
        <f>SUM($Q$7:$Q25)/T25</f>
        <v>187461.34473684229</v>
      </c>
      <c r="T25" s="18">
        <v>19</v>
      </c>
      <c r="U25" s="4"/>
      <c r="V25" s="131"/>
      <c r="W25" s="105">
        <v>-3187744</v>
      </c>
      <c r="X25" s="167"/>
      <c r="Y25" s="156">
        <f t="shared" si="7"/>
        <v>-3187744</v>
      </c>
      <c r="Z25" s="217"/>
      <c r="AA25" s="92"/>
      <c r="AD25" s="1"/>
      <c r="AE25" s="1"/>
    </row>
    <row r="26" spans="2:31">
      <c r="B26" s="116">
        <v>45075</v>
      </c>
      <c r="C26" s="14"/>
      <c r="D26" s="87"/>
      <c r="E26" s="87">
        <v>119</v>
      </c>
      <c r="F26" s="23">
        <v>-4105960</v>
      </c>
      <c r="G26" s="26">
        <f>D26+E26+F26-E23-F23</f>
        <v>28652</v>
      </c>
      <c r="H26" s="132">
        <v>200</v>
      </c>
      <c r="I26" s="63">
        <v>13400</v>
      </c>
      <c r="J26" s="63">
        <v>-300</v>
      </c>
      <c r="K26" s="170">
        <f t="shared" si="8"/>
        <v>13300</v>
      </c>
      <c r="L26" s="171">
        <v>41</v>
      </c>
      <c r="M26" s="153"/>
      <c r="N26" s="149">
        <f t="shared" si="9"/>
        <v>41993</v>
      </c>
      <c r="O26" s="67">
        <f t="shared" si="2"/>
        <v>23173.850000000188</v>
      </c>
      <c r="P26" s="7">
        <f t="shared" si="5"/>
        <v>463477.00000000373</v>
      </c>
      <c r="Q26" s="164">
        <f>Q25+N26-3</f>
        <v>197691.45000000019</v>
      </c>
      <c r="R26" s="29">
        <f t="shared" si="3"/>
        <v>114.06067391185637</v>
      </c>
      <c r="S26" s="5">
        <f>SUM($Q$7:$Q26)/T26-2</f>
        <v>187970.85000000018</v>
      </c>
      <c r="T26" s="18">
        <v>20</v>
      </c>
      <c r="U26" s="138">
        <f>B26</f>
        <v>45075</v>
      </c>
      <c r="V26" s="131">
        <v>1771.1</v>
      </c>
      <c r="W26" s="105">
        <v>-3201085</v>
      </c>
      <c r="X26" s="167">
        <f>AVERAGE(W26:W34)</f>
        <v>-3214143.111111111</v>
      </c>
      <c r="Y26" s="156">
        <f>Y25-K26-L26</f>
        <v>-3201085</v>
      </c>
      <c r="Z26" s="217">
        <f>AVERAGE(Y26:Y34)</f>
        <v>-3214142.888888889</v>
      </c>
      <c r="AC26" s="92"/>
      <c r="AD26" s="1"/>
      <c r="AE26" s="1"/>
    </row>
    <row r="27" spans="2:31">
      <c r="B27" s="116">
        <v>45076</v>
      </c>
      <c r="C27" s="14" t="str">
        <f t="shared" si="0"/>
        <v/>
      </c>
      <c r="D27" s="87"/>
      <c r="E27" s="87">
        <v>174</v>
      </c>
      <c r="F27" s="23">
        <v>-4157990</v>
      </c>
      <c r="G27" s="26">
        <f>D27+E27+F27-E26-F26</f>
        <v>-51975</v>
      </c>
      <c r="H27" s="132">
        <v>300</v>
      </c>
      <c r="I27" s="63">
        <v>9200</v>
      </c>
      <c r="J27" s="63">
        <v>-400</v>
      </c>
      <c r="K27" s="170">
        <f t="shared" si="8"/>
        <v>9100</v>
      </c>
      <c r="L27" s="171">
        <v>23</v>
      </c>
      <c r="M27" s="153"/>
      <c r="N27" s="149">
        <f>L27+K27+G27+M27</f>
        <v>-42852</v>
      </c>
      <c r="O27" s="67">
        <f t="shared" si="2"/>
        <v>21596.164285714472</v>
      </c>
      <c r="P27" s="7">
        <f t="shared" si="5"/>
        <v>453519.45000000391</v>
      </c>
      <c r="Q27" s="164">
        <f>Q26+N27+2</f>
        <v>154841.45000000019</v>
      </c>
      <c r="R27" s="29">
        <f t="shared" si="3"/>
        <v>113.10454813786157</v>
      </c>
      <c r="S27" s="5">
        <f>SUM($Q$7:$Q27)/T27</f>
        <v>186395.16428571448</v>
      </c>
      <c r="T27" s="18">
        <v>21</v>
      </c>
      <c r="U27" s="138">
        <f>B28+6</f>
        <v>45083</v>
      </c>
      <c r="V27" s="159"/>
      <c r="W27" s="105">
        <v>-3210209</v>
      </c>
      <c r="X27" s="167"/>
      <c r="Y27" s="156">
        <f>Y26-K27-L27-1</f>
        <v>-3210209</v>
      </c>
      <c r="Z27" s="217"/>
      <c r="AA27" s="92"/>
      <c r="AD27" s="1"/>
      <c r="AE27" s="1"/>
    </row>
    <row r="28" spans="2:31">
      <c r="B28" s="116">
        <v>45077</v>
      </c>
      <c r="C28" s="14" t="str">
        <f t="shared" si="0"/>
        <v/>
      </c>
      <c r="D28" s="87">
        <f>-2003+2549</f>
        <v>546</v>
      </c>
      <c r="E28" s="87">
        <v>101</v>
      </c>
      <c r="F28" s="23">
        <v>-4122382</v>
      </c>
      <c r="G28" s="26">
        <f>D28+E28+F28-E27-F27</f>
        <v>36081</v>
      </c>
      <c r="H28" s="132">
        <v>300</v>
      </c>
      <c r="I28" s="63">
        <v>-23400</v>
      </c>
      <c r="J28" s="63">
        <v>-400</v>
      </c>
      <c r="K28" s="170">
        <f t="shared" si="8"/>
        <v>-23500</v>
      </c>
      <c r="L28" s="171">
        <v>34</v>
      </c>
      <c r="M28" s="153"/>
      <c r="N28" s="149">
        <f>L28+K28+G28+M28</f>
        <v>12615</v>
      </c>
      <c r="O28" s="67">
        <f t="shared" si="2"/>
        <v>20735.268181818366</v>
      </c>
      <c r="P28" s="7">
        <f t="shared" si="5"/>
        <v>456175.9000000041</v>
      </c>
      <c r="Q28" s="164">
        <f>Q27+N28-1</f>
        <v>167455.45000000019</v>
      </c>
      <c r="R28" s="29">
        <f t="shared" si="3"/>
        <v>112.58154975565287</v>
      </c>
      <c r="S28" s="5">
        <f>SUM($Q$7:$Q28)/T28-1</f>
        <v>185533.26818181836</v>
      </c>
      <c r="T28" s="18">
        <v>22</v>
      </c>
      <c r="U28" s="4"/>
      <c r="V28" s="131"/>
      <c r="W28" s="105">
        <v>-3186742</v>
      </c>
      <c r="X28" s="167"/>
      <c r="Y28" s="156">
        <f>Y27-K28-L28+1</f>
        <v>-3186742</v>
      </c>
      <c r="Z28" s="217"/>
      <c r="AA28" s="92"/>
      <c r="AD28" s="1"/>
      <c r="AE28" s="1"/>
    </row>
    <row r="29" spans="2:31">
      <c r="B29" s="116">
        <v>45078</v>
      </c>
      <c r="C29" s="14" t="str">
        <f t="shared" si="0"/>
        <v/>
      </c>
      <c r="D29" s="87">
        <f>-577+789</f>
        <v>212</v>
      </c>
      <c r="E29" s="87">
        <v>31</v>
      </c>
      <c r="F29" s="23">
        <v>-4165484</v>
      </c>
      <c r="G29" s="26">
        <f>D29+E29+F29-E28-F28</f>
        <v>-42960</v>
      </c>
      <c r="H29" s="132">
        <v>10300</v>
      </c>
      <c r="I29" s="63">
        <v>18500</v>
      </c>
      <c r="J29" s="63">
        <v>-400</v>
      </c>
      <c r="K29" s="170">
        <f t="shared" si="8"/>
        <v>28400</v>
      </c>
      <c r="L29" s="171">
        <v>9</v>
      </c>
      <c r="M29" s="153"/>
      <c r="N29" s="149">
        <f>L29+K29+G29+M29</f>
        <v>-14551</v>
      </c>
      <c r="O29" s="67">
        <f t="shared" si="2"/>
        <v>19316.667391304534</v>
      </c>
      <c r="P29" s="7">
        <f t="shared" si="5"/>
        <v>444283.35000000428</v>
      </c>
      <c r="Q29" s="164">
        <f>Q28+N29+2</f>
        <v>152906.45000000019</v>
      </c>
      <c r="R29" s="29">
        <f t="shared" si="3"/>
        <v>111.72074308175691</v>
      </c>
      <c r="S29" s="5">
        <f>SUM($Q$7:$Q29)/T29-1</f>
        <v>184114.66739130454</v>
      </c>
      <c r="T29" s="18">
        <v>23</v>
      </c>
      <c r="U29" s="4"/>
      <c r="V29" s="131"/>
      <c r="W29" s="105">
        <v>-3215153</v>
      </c>
      <c r="X29" s="167"/>
      <c r="Y29" s="156">
        <f>Y28-K29-L29</f>
        <v>-3215151</v>
      </c>
      <c r="Z29" s="217"/>
      <c r="AA29" s="92"/>
      <c r="AD29" s="1"/>
      <c r="AE29" s="1"/>
    </row>
    <row r="30" spans="2:31">
      <c r="B30" s="116">
        <v>45079</v>
      </c>
      <c r="C30" s="14" t="str">
        <f t="shared" si="0"/>
        <v/>
      </c>
      <c r="D30" s="87"/>
      <c r="E30" s="87"/>
      <c r="F30" s="23">
        <v>-4163699</v>
      </c>
      <c r="G30" s="26">
        <f>D30+E30+F30-E29-F29</f>
        <v>1754</v>
      </c>
      <c r="H30" s="132">
        <v>300</v>
      </c>
      <c r="I30" s="25">
        <v>2900</v>
      </c>
      <c r="J30" s="25">
        <v>-400</v>
      </c>
      <c r="K30" s="170">
        <f t="shared" si="8"/>
        <v>2800</v>
      </c>
      <c r="L30" s="171">
        <v>17</v>
      </c>
      <c r="M30" s="153"/>
      <c r="N30" s="149">
        <f>L30+K30+G30+M30</f>
        <v>4571</v>
      </c>
      <c r="O30" s="67">
        <f t="shared" si="2"/>
        <v>18206.700000000186</v>
      </c>
      <c r="P30" s="7">
        <f t="shared" si="5"/>
        <v>436960.80000000447</v>
      </c>
      <c r="Q30" s="164">
        <f>Q29+N30-1</f>
        <v>157476.45000000019</v>
      </c>
      <c r="R30" s="29">
        <f t="shared" si="3"/>
        <v>111.05085589111596</v>
      </c>
      <c r="S30" s="5">
        <f>SUM($Q$7:$Q30)/T30+5</f>
        <v>183010.70000000019</v>
      </c>
      <c r="T30" s="18">
        <v>24</v>
      </c>
      <c r="U30" s="4"/>
      <c r="V30" s="131"/>
      <c r="W30" s="105">
        <v>-3217969</v>
      </c>
      <c r="X30" s="167"/>
      <c r="Y30" s="156">
        <f>Y29-K30-L30-1</f>
        <v>-3217969</v>
      </c>
      <c r="Z30" s="217"/>
      <c r="AA30" s="92"/>
      <c r="AD30" s="1"/>
      <c r="AE30" s="1"/>
    </row>
    <row r="31" spans="2:31">
      <c r="B31" s="116">
        <v>45080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17185.530000000188</v>
      </c>
      <c r="P31" s="7">
        <f t="shared" si="5"/>
        <v>429638.25000000466</v>
      </c>
      <c r="Q31" s="164">
        <f t="shared" ref="Q31:Q39" si="11">Q30+N31</f>
        <v>157476.45000000019</v>
      </c>
      <c r="R31" s="29">
        <f t="shared" si="3"/>
        <v>110.42756934204709</v>
      </c>
      <c r="S31" s="5">
        <f>SUM($Q$7:$Q31)/T31-1</f>
        <v>181983.53000000017</v>
      </c>
      <c r="T31" s="18">
        <v>25</v>
      </c>
      <c r="U31" s="4"/>
      <c r="V31" s="137"/>
      <c r="W31" s="105">
        <v>-3217969</v>
      </c>
      <c r="X31" s="167"/>
      <c r="Y31" s="156">
        <f t="shared" si="7"/>
        <v>-3217969</v>
      </c>
      <c r="Z31" s="217"/>
      <c r="AA31" s="92"/>
      <c r="AB31" s="92"/>
      <c r="AD31" s="1"/>
      <c r="AE31" s="1"/>
    </row>
    <row r="32" spans="2:31">
      <c r="B32" s="116">
        <v>45081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16242.911538461725</v>
      </c>
      <c r="P32" s="7">
        <f t="shared" si="5"/>
        <v>422315.70000000484</v>
      </c>
      <c r="Q32" s="164">
        <f t="shared" si="11"/>
        <v>157476.45000000019</v>
      </c>
      <c r="R32" s="29">
        <f t="shared" si="3"/>
        <v>109.85558864948315</v>
      </c>
      <c r="S32" s="5">
        <f>SUM($Q$7:$Q32)/T32-1</f>
        <v>181040.91153846172</v>
      </c>
      <c r="T32" s="18">
        <v>26</v>
      </c>
      <c r="U32" s="27"/>
      <c r="V32" s="137"/>
      <c r="W32" s="105">
        <v>-3217969</v>
      </c>
      <c r="X32" s="167"/>
      <c r="Y32" s="156">
        <f t="shared" si="7"/>
        <v>-3217969</v>
      </c>
      <c r="Z32" s="217"/>
      <c r="AD32" s="1"/>
      <c r="AE32" s="1"/>
    </row>
    <row r="33" spans="2:31">
      <c r="B33" s="116">
        <v>45082</v>
      </c>
      <c r="C33" s="14" t="str">
        <f t="shared" si="0"/>
        <v/>
      </c>
      <c r="D33" s="87"/>
      <c r="E33" s="87">
        <v>1200</v>
      </c>
      <c r="F33" s="23">
        <v>-4162348</v>
      </c>
      <c r="G33" s="26">
        <f>D33+E33+F33-E30-F30</f>
        <v>2551</v>
      </c>
      <c r="H33" s="132">
        <v>300</v>
      </c>
      <c r="I33" s="25">
        <v>8550</v>
      </c>
      <c r="J33" s="25">
        <v>100</v>
      </c>
      <c r="K33" s="170">
        <f t="shared" si="8"/>
        <v>8950</v>
      </c>
      <c r="L33" s="171">
        <v>45</v>
      </c>
      <c r="M33" s="153"/>
      <c r="N33" s="149">
        <f t="shared" si="9"/>
        <v>11546</v>
      </c>
      <c r="O33" s="67">
        <f t="shared" si="2"/>
        <v>15797.746296296482</v>
      </c>
      <c r="P33" s="7">
        <f t="shared" si="5"/>
        <v>426539.15000000503</v>
      </c>
      <c r="Q33" s="164">
        <f>Q32+N33</f>
        <v>169022.45000000019</v>
      </c>
      <c r="R33" s="29">
        <f t="shared" si="3"/>
        <v>109.58546247021917</v>
      </c>
      <c r="S33" s="5">
        <f>SUM($Q$7:$Q33)/T33-1</f>
        <v>180595.74629629648</v>
      </c>
      <c r="T33" s="18">
        <v>27</v>
      </c>
      <c r="U33" s="138">
        <f>B33</f>
        <v>45082</v>
      </c>
      <c r="V33" s="131">
        <v>1881.6</v>
      </c>
      <c r="W33" s="105">
        <v>-3226965</v>
      </c>
      <c r="X33" s="167">
        <f>AVERAGE(W33:W41)</f>
        <v>-3238069.222222222</v>
      </c>
      <c r="Y33" s="156">
        <f>Y32-K33-L33-1</f>
        <v>-3226965</v>
      </c>
      <c r="Z33" s="217">
        <f>AVERAGE(Y33:Y41)</f>
        <v>-3238069.222222222</v>
      </c>
      <c r="AD33" s="1"/>
      <c r="AE33" s="1"/>
    </row>
    <row r="34" spans="2:31">
      <c r="B34" s="116">
        <v>45083</v>
      </c>
      <c r="C34" s="14" t="str">
        <f t="shared" si="0"/>
        <v/>
      </c>
      <c r="D34" s="87"/>
      <c r="E34" s="87">
        <v>1489</v>
      </c>
      <c r="F34" s="23">
        <v>-4173312</v>
      </c>
      <c r="G34" s="26">
        <f>D34+E34+F34-E33-F33</f>
        <v>-10675</v>
      </c>
      <c r="H34" s="132">
        <v>300</v>
      </c>
      <c r="I34" s="25">
        <v>5850</v>
      </c>
      <c r="J34" s="25">
        <v>100</v>
      </c>
      <c r="K34" s="170">
        <f t="shared" si="8"/>
        <v>6250</v>
      </c>
      <c r="L34" s="171">
        <v>13</v>
      </c>
      <c r="M34" s="153"/>
      <c r="N34" s="149">
        <f>L34+K34+G34+M34</f>
        <v>-4412</v>
      </c>
      <c r="O34" s="67">
        <f t="shared" si="2"/>
        <v>15226.807142857329</v>
      </c>
      <c r="P34" s="7">
        <f t="shared" si="5"/>
        <v>426350.60000000522</v>
      </c>
      <c r="Q34" s="164">
        <f>Q33+N34</f>
        <v>164610.45000000019</v>
      </c>
      <c r="R34" s="29">
        <f t="shared" si="3"/>
        <v>109.23901670693228</v>
      </c>
      <c r="S34" s="5">
        <f>SUM($Q$7:$Q34)/T34-1</f>
        <v>180024.80714285732</v>
      </c>
      <c r="T34" s="18">
        <v>28</v>
      </c>
      <c r="U34" s="138">
        <f>B33+8</f>
        <v>45090</v>
      </c>
      <c r="V34" s="131"/>
      <c r="W34" s="105">
        <v>-3233227</v>
      </c>
      <c r="X34" s="167"/>
      <c r="Y34" s="156">
        <f>Y33-K34-L34+1</f>
        <v>-3233227</v>
      </c>
      <c r="Z34" s="217"/>
      <c r="AA34" s="92"/>
      <c r="AD34" s="1"/>
      <c r="AE34" s="1"/>
    </row>
    <row r="35" spans="2:31">
      <c r="B35" s="116">
        <v>45084</v>
      </c>
      <c r="C35" s="14" t="str">
        <f t="shared" si="0"/>
        <v/>
      </c>
      <c r="D35" s="87">
        <f>-2549+1326</f>
        <v>-1223</v>
      </c>
      <c r="E35" s="87">
        <v>90</v>
      </c>
      <c r="F35" s="23">
        <v>-4182389</v>
      </c>
      <c r="G35" s="26">
        <f>D35+E35+F35-E34-F34</f>
        <v>-11699</v>
      </c>
      <c r="H35" s="132">
        <v>300</v>
      </c>
      <c r="I35" s="25">
        <v>7200</v>
      </c>
      <c r="J35" s="25">
        <v>100</v>
      </c>
      <c r="K35" s="170">
        <f t="shared" si="8"/>
        <v>7600</v>
      </c>
      <c r="L35" s="171">
        <v>9</v>
      </c>
      <c r="M35" s="153"/>
      <c r="N35" s="149">
        <f t="shared" si="9"/>
        <v>-4090</v>
      </c>
      <c r="O35" s="67">
        <f t="shared" si="2"/>
        <v>14554.208620689842</v>
      </c>
      <c r="P35" s="7">
        <f t="shared" si="5"/>
        <v>422072.0500000054</v>
      </c>
      <c r="Q35" s="164">
        <f>Q34+N35</f>
        <v>160520.45000000019</v>
      </c>
      <c r="R35" s="29">
        <f t="shared" si="3"/>
        <v>108.83149085897963</v>
      </c>
      <c r="S35" s="5">
        <f>SUM($Q$7:$Q35)/T35</f>
        <v>179353.20862068984</v>
      </c>
      <c r="T35" s="18">
        <v>29</v>
      </c>
      <c r="U35" s="4"/>
      <c r="V35" s="131"/>
      <c r="W35" s="105">
        <v>-3240837</v>
      </c>
      <c r="X35" s="167"/>
      <c r="Y35" s="156">
        <f>Y34-K35-L35-1</f>
        <v>-3240837</v>
      </c>
      <c r="Z35" s="217"/>
      <c r="AA35" s="92"/>
      <c r="AD35" s="1"/>
      <c r="AE35" s="1"/>
    </row>
    <row r="36" spans="2:31">
      <c r="B36" s="116">
        <v>45085</v>
      </c>
      <c r="C36" s="14" t="str">
        <f t="shared" si="0"/>
        <v/>
      </c>
      <c r="D36" s="87"/>
      <c r="E36" s="87">
        <v>92</v>
      </c>
      <c r="F36" s="23">
        <v>-4148231</v>
      </c>
      <c r="G36" s="26">
        <f>D36+E36+F36-E35-F35</f>
        <v>34160</v>
      </c>
      <c r="H36" s="132">
        <v>300</v>
      </c>
      <c r="I36" s="25">
        <v>-2250</v>
      </c>
      <c r="J36" s="25">
        <v>-100</v>
      </c>
      <c r="K36" s="170">
        <f t="shared" si="8"/>
        <v>-2050</v>
      </c>
      <c r="L36" s="171">
        <v>8</v>
      </c>
      <c r="M36" s="153"/>
      <c r="N36" s="149">
        <f t="shared" si="9"/>
        <v>32118</v>
      </c>
      <c r="O36" s="67">
        <f t="shared" si="2"/>
        <v>14997.050000000187</v>
      </c>
      <c r="P36" s="7">
        <f t="shared" si="5"/>
        <v>449911.50000000559</v>
      </c>
      <c r="Q36" s="164">
        <f>Q35+N36</f>
        <v>192638.45000000019</v>
      </c>
      <c r="R36" s="29">
        <f t="shared" si="3"/>
        <v>109.09960011893287</v>
      </c>
      <c r="S36" s="5">
        <f>SUM($Q$7:$Q36)/T36-1</f>
        <v>179795.05000000019</v>
      </c>
      <c r="T36" s="18">
        <v>30</v>
      </c>
      <c r="U36" s="4"/>
      <c r="V36" s="136"/>
      <c r="W36" s="105">
        <v>-3238795</v>
      </c>
      <c r="X36" s="167"/>
      <c r="Y36" s="156">
        <f>Y35-K36-L36</f>
        <v>-3238795</v>
      </c>
      <c r="Z36" s="217"/>
      <c r="AD36" s="1"/>
      <c r="AE36" s="1"/>
    </row>
    <row r="37" spans="2:31">
      <c r="B37" s="116">
        <v>45086</v>
      </c>
      <c r="C37" s="14"/>
      <c r="D37" s="87"/>
      <c r="E37" s="87">
        <v>102</v>
      </c>
      <c r="F37" s="23">
        <v>-4180728</v>
      </c>
      <c r="G37" s="26">
        <f>D37+E37+F37-E36-F36</f>
        <v>-32487</v>
      </c>
      <c r="H37" s="132">
        <v>300</v>
      </c>
      <c r="I37" s="25">
        <v>2200</v>
      </c>
      <c r="J37" s="25">
        <v>-100</v>
      </c>
      <c r="K37" s="170">
        <f t="shared" si="8"/>
        <v>2400</v>
      </c>
      <c r="L37" s="171">
        <v>-23</v>
      </c>
      <c r="M37" s="153"/>
      <c r="N37" s="149">
        <f t="shared" si="9"/>
        <v>-30110</v>
      </c>
      <c r="O37" s="67">
        <f t="shared" si="2"/>
        <v>14439.933870967929</v>
      </c>
      <c r="P37" s="7">
        <f t="shared" si="5"/>
        <v>447637.95000000577</v>
      </c>
      <c r="Q37" s="164">
        <f>Q36+N37-3</f>
        <v>162525.45000000019</v>
      </c>
      <c r="R37" s="29">
        <f t="shared" si="3"/>
        <v>108.76275576366841</v>
      </c>
      <c r="S37" s="5">
        <f>SUM($Q$7:$Q37)/T37+1</f>
        <v>179239.93387096791</v>
      </c>
      <c r="T37" s="18">
        <v>31</v>
      </c>
      <c r="U37" s="27"/>
      <c r="V37" s="137"/>
      <c r="W37" s="105">
        <v>-3241169</v>
      </c>
      <c r="X37" s="167"/>
      <c r="Y37" s="156">
        <f>Y36-K37-L37+3</f>
        <v>-3241169</v>
      </c>
      <c r="Z37" s="217"/>
      <c r="AA37" s="92"/>
      <c r="AD37" s="1"/>
      <c r="AE37" s="1"/>
    </row>
    <row r="38" spans="2:31">
      <c r="B38" s="116">
        <v>45087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13917.637500000186</v>
      </c>
      <c r="P38" s="7">
        <f t="shared" si="5"/>
        <v>445364.40000000596</v>
      </c>
      <c r="Q38" s="164">
        <f t="shared" si="11"/>
        <v>162525.45000000019</v>
      </c>
      <c r="R38" s="29">
        <f t="shared" si="3"/>
        <v>108.4452196311872</v>
      </c>
      <c r="S38" s="5">
        <f>SUM($Q$7:$Q38)/T38</f>
        <v>178716.63750000019</v>
      </c>
      <c r="T38" s="18">
        <v>32</v>
      </c>
      <c r="U38" s="27"/>
      <c r="V38" s="137"/>
      <c r="W38" s="105">
        <v>-3241169</v>
      </c>
      <c r="X38" s="167"/>
      <c r="Y38" s="156">
        <f t="shared" si="7"/>
        <v>-3241169</v>
      </c>
      <c r="Z38" s="217"/>
      <c r="AD38" s="1"/>
      <c r="AE38" s="1"/>
    </row>
    <row r="39" spans="2:31">
      <c r="B39" s="116">
        <v>45088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13426.99545454564</v>
      </c>
      <c r="P39" s="7">
        <f t="shared" si="5"/>
        <v>443090.85000000615</v>
      </c>
      <c r="Q39" s="164">
        <f t="shared" si="11"/>
        <v>162525.45000000019</v>
      </c>
      <c r="R39" s="29">
        <f t="shared" si="3"/>
        <v>108.14871173644597</v>
      </c>
      <c r="S39" s="5">
        <f>SUM($Q$7:$Q39)/T39+2</f>
        <v>178227.99545454563</v>
      </c>
      <c r="T39" s="18">
        <v>33</v>
      </c>
      <c r="U39" s="27"/>
      <c r="V39" s="137"/>
      <c r="W39" s="105">
        <v>-3241169</v>
      </c>
      <c r="X39" s="167"/>
      <c r="Y39" s="156">
        <f t="shared" si="7"/>
        <v>-3241169</v>
      </c>
      <c r="Z39" s="217"/>
      <c r="AD39" s="1"/>
      <c r="AE39" s="1"/>
    </row>
    <row r="40" spans="2:31">
      <c r="B40" s="116">
        <v>45089</v>
      </c>
      <c r="C40" s="14"/>
      <c r="D40" s="87"/>
      <c r="E40" s="87">
        <v>145</v>
      </c>
      <c r="F40" s="23">
        <v>-4168538</v>
      </c>
      <c r="G40" s="26">
        <f>D40+E40+F40-E37-F37</f>
        <v>12233</v>
      </c>
      <c r="H40" s="132">
        <v>300</v>
      </c>
      <c r="I40" s="25">
        <v>600</v>
      </c>
      <c r="J40" s="25">
        <v>200</v>
      </c>
      <c r="K40" s="170">
        <f t="shared" si="8"/>
        <v>1100</v>
      </c>
      <c r="L40" s="171">
        <v>29</v>
      </c>
      <c r="M40" s="153"/>
      <c r="N40" s="149">
        <f t="shared" si="9"/>
        <v>13362</v>
      </c>
      <c r="O40" s="67">
        <f t="shared" si="2"/>
        <v>13358.185294117833</v>
      </c>
      <c r="P40" s="7">
        <f t="shared" si="5"/>
        <v>454178.30000000633</v>
      </c>
      <c r="Q40" s="164">
        <f>Q39+N40-1</f>
        <v>175886.45000000019</v>
      </c>
      <c r="R40" s="29">
        <f t="shared" si="3"/>
        <v>108.10513734556511</v>
      </c>
      <c r="S40" s="5">
        <f>SUM($Q$7:$Q40)/T40-1</f>
        <v>178156.18529411784</v>
      </c>
      <c r="T40" s="18">
        <v>34</v>
      </c>
      <c r="U40" s="138">
        <f>B40</f>
        <v>45089</v>
      </c>
      <c r="V40" s="131">
        <v>1659</v>
      </c>
      <c r="W40" s="105">
        <v>-3242296</v>
      </c>
      <c r="X40" s="167">
        <f>AVERAGE(W40:W48)</f>
        <v>-3213448.6666666665</v>
      </c>
      <c r="Y40" s="156">
        <f>Y39-K40-L40+2</f>
        <v>-3242296</v>
      </c>
      <c r="Z40" s="217">
        <f>AVERAGE(Y40:Y48)</f>
        <v>-3213448.3333333335</v>
      </c>
      <c r="AD40" s="1"/>
      <c r="AE40" s="1"/>
    </row>
    <row r="41" spans="2:31">
      <c r="B41" s="116">
        <v>45090</v>
      </c>
      <c r="C41" s="14" t="str">
        <f t="shared" si="0"/>
        <v/>
      </c>
      <c r="D41" s="87"/>
      <c r="E41" s="87">
        <v>111</v>
      </c>
      <c r="F41" s="23">
        <v>-4155025</v>
      </c>
      <c r="G41" s="26">
        <f>D41+E41+F41-E40-F40</f>
        <v>13479</v>
      </c>
      <c r="H41" s="132">
        <v>300</v>
      </c>
      <c r="I41" s="25">
        <v>-5800</v>
      </c>
      <c r="J41" s="25">
        <v>200</v>
      </c>
      <c r="K41" s="170">
        <f t="shared" si="8"/>
        <v>-5300</v>
      </c>
      <c r="L41" s="171">
        <v>1</v>
      </c>
      <c r="M41" s="153"/>
      <c r="N41" s="149">
        <f t="shared" si="9"/>
        <v>8180</v>
      </c>
      <c r="O41" s="67">
        <f t="shared" si="2"/>
        <v>13526.992857143043</v>
      </c>
      <c r="P41" s="7">
        <f t="shared" si="5"/>
        <v>473444.75000000652</v>
      </c>
      <c r="Q41" s="164">
        <f>Q40+N41-1</f>
        <v>184065.45000000019</v>
      </c>
      <c r="R41" s="29">
        <f t="shared" si="3"/>
        <v>108.20878334039834</v>
      </c>
      <c r="S41" s="5">
        <f>SUM($Q$7:$Q41)/T41+1</f>
        <v>178326.99285714305</v>
      </c>
      <c r="T41" s="18">
        <v>35</v>
      </c>
      <c r="U41" s="138">
        <f>B40+8</f>
        <v>45097</v>
      </c>
      <c r="V41" s="137"/>
      <c r="W41" s="105">
        <v>-3236996</v>
      </c>
      <c r="X41" s="167"/>
      <c r="Y41" s="156">
        <f>Y40-K41-L41+1</f>
        <v>-3236996</v>
      </c>
      <c r="Z41" s="217"/>
      <c r="AD41" s="1"/>
      <c r="AE41" s="1"/>
    </row>
    <row r="42" spans="2:31">
      <c r="B42" s="116">
        <v>45091</v>
      </c>
      <c r="C42" s="14" t="str">
        <f t="shared" si="0"/>
        <v/>
      </c>
      <c r="D42" s="87">
        <f>-1326+1162</f>
        <v>-164</v>
      </c>
      <c r="E42" s="87">
        <v>120</v>
      </c>
      <c r="F42" s="23">
        <v>-4140748</v>
      </c>
      <c r="G42" s="26">
        <f>D42+E42+F42-E41-F41</f>
        <v>14122</v>
      </c>
      <c r="H42" s="132">
        <v>300</v>
      </c>
      <c r="I42" s="25">
        <v>-10600</v>
      </c>
      <c r="J42" s="25">
        <v>200</v>
      </c>
      <c r="K42" s="170">
        <f t="shared" si="8"/>
        <v>-10100</v>
      </c>
      <c r="L42" s="171">
        <v>23</v>
      </c>
      <c r="M42" s="153"/>
      <c r="N42" s="149">
        <f t="shared" si="9"/>
        <v>4045</v>
      </c>
      <c r="O42" s="67">
        <f t="shared" si="2"/>
        <v>13798.755555555741</v>
      </c>
      <c r="P42" s="7">
        <f t="shared" si="5"/>
        <v>496755.20000000671</v>
      </c>
      <c r="Q42" s="164">
        <f>Q41+N42-1</f>
        <v>188109.45000000019</v>
      </c>
      <c r="R42" s="29">
        <f t="shared" si="3"/>
        <v>108.37247529144942</v>
      </c>
      <c r="S42" s="5">
        <f>SUM($Q$7:$Q42)/T42-1</f>
        <v>178596.75555555575</v>
      </c>
      <c r="T42" s="18">
        <v>36</v>
      </c>
      <c r="U42" s="138"/>
      <c r="V42" s="137"/>
      <c r="W42" s="105">
        <v>-3226918</v>
      </c>
      <c r="X42" s="167"/>
      <c r="Y42" s="156">
        <f t="shared" ref="Y42:Y47" si="12">Y41-K42-L42+1</f>
        <v>-3226918</v>
      </c>
      <c r="Z42" s="217"/>
      <c r="AD42" s="1"/>
      <c r="AE42" s="1"/>
    </row>
    <row r="43" spans="2:31">
      <c r="B43" s="116">
        <v>45092</v>
      </c>
      <c r="C43" s="14" t="str">
        <f t="shared" si="0"/>
        <v/>
      </c>
      <c r="D43" s="87"/>
      <c r="E43" s="87">
        <v>111</v>
      </c>
      <c r="F43" s="23">
        <v>-4122817</v>
      </c>
      <c r="G43" s="26">
        <f>D43+E43+F43-E42-F42</f>
        <v>17922</v>
      </c>
      <c r="H43" s="132">
        <v>300</v>
      </c>
      <c r="I43" s="25">
        <v>-20300</v>
      </c>
      <c r="J43" s="25">
        <v>200</v>
      </c>
      <c r="K43" s="170">
        <f t="shared" si="8"/>
        <v>-19800</v>
      </c>
      <c r="L43" s="171">
        <v>26</v>
      </c>
      <c r="M43" s="153"/>
      <c r="N43" s="149">
        <f t="shared" si="9"/>
        <v>-1852</v>
      </c>
      <c r="O43" s="67">
        <f t="shared" si="2"/>
        <v>14005.828378378565</v>
      </c>
      <c r="P43" s="7">
        <f t="shared" si="5"/>
        <v>518215.65000000689</v>
      </c>
      <c r="Q43" s="164">
        <f>Q42+N43+2</f>
        <v>186259.45000000019</v>
      </c>
      <c r="R43" s="29">
        <f t="shared" si="3"/>
        <v>108.44169465735749</v>
      </c>
      <c r="S43" s="5">
        <f>SUM($Q$7:$Q43)/T43-94</f>
        <v>178710.82837837856</v>
      </c>
      <c r="T43" s="18">
        <v>37</v>
      </c>
      <c r="U43" s="138"/>
      <c r="V43" s="137"/>
      <c r="W43" s="105">
        <v>-3207146</v>
      </c>
      <c r="X43" s="167"/>
      <c r="Y43" s="156">
        <f>Y42-K43-L43-2</f>
        <v>-3207146</v>
      </c>
      <c r="Z43" s="217"/>
      <c r="AD43" s="1"/>
      <c r="AE43" s="1"/>
    </row>
    <row r="44" spans="2:31">
      <c r="B44" s="116">
        <v>45093</v>
      </c>
      <c r="C44" s="14" t="str">
        <f t="shared" si="0"/>
        <v/>
      </c>
      <c r="D44" s="87"/>
      <c r="E44" s="87">
        <v>80</v>
      </c>
      <c r="F44" s="23">
        <v>-4115226</v>
      </c>
      <c r="G44" s="26">
        <f>D44+E44+F44-E43-F43</f>
        <v>7560</v>
      </c>
      <c r="H44" s="132">
        <v>2800</v>
      </c>
      <c r="I44" s="25">
        <v>-3500</v>
      </c>
      <c r="J44" s="25">
        <v>200</v>
      </c>
      <c r="K44" s="170">
        <f t="shared" si="8"/>
        <v>-500</v>
      </c>
      <c r="L44" s="171">
        <v>-46</v>
      </c>
      <c r="M44" s="153"/>
      <c r="N44" s="149">
        <f t="shared" si="9"/>
        <v>7014</v>
      </c>
      <c r="O44" s="67">
        <f t="shared" si="2"/>
        <v>14386.555263158081</v>
      </c>
      <c r="P44" s="7">
        <f t="shared" si="5"/>
        <v>546689.10000000708</v>
      </c>
      <c r="Q44" s="164">
        <f>Q43+N44-1</f>
        <v>193272.45000000019</v>
      </c>
      <c r="R44" s="29">
        <f t="shared" si="3"/>
        <v>108.73036563520293</v>
      </c>
      <c r="S44" s="5">
        <f>SUM($Q$7:$Q44)/T44+1</f>
        <v>179186.55526315808</v>
      </c>
      <c r="T44" s="18">
        <v>38</v>
      </c>
      <c r="U44" s="138"/>
      <c r="V44" s="137"/>
      <c r="W44" s="105">
        <v>-3206599</v>
      </c>
      <c r="X44" s="167"/>
      <c r="Y44" s="156">
        <f>Y43-K44-L44+1</f>
        <v>-3206599</v>
      </c>
      <c r="Z44" s="217"/>
      <c r="AD44" s="1"/>
      <c r="AE44" s="1"/>
    </row>
    <row r="45" spans="2:31">
      <c r="B45" s="116">
        <v>45094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14747.757692307878</v>
      </c>
      <c r="P45" s="7">
        <f t="shared" si="5"/>
        <v>575162.55000000726</v>
      </c>
      <c r="Q45" s="164">
        <f t="shared" ref="Q45:Q46" si="13">Q44+N45</f>
        <v>193272.45000000019</v>
      </c>
      <c r="R45" s="29">
        <f t="shared" si="3"/>
        <v>108.94954319644408</v>
      </c>
      <c r="S45" s="5">
        <f>SUM($Q$7:$Q45)/T45+1</f>
        <v>179547.75769230787</v>
      </c>
      <c r="T45" s="18">
        <v>39</v>
      </c>
      <c r="U45" s="138"/>
      <c r="V45" s="137"/>
      <c r="W45" s="105">
        <v>-3206599</v>
      </c>
      <c r="X45" s="167"/>
      <c r="Y45" s="156">
        <f>Y44-K45-L45</f>
        <v>-3206599</v>
      </c>
      <c r="Z45" s="217"/>
      <c r="AD45" s="1"/>
      <c r="AE45" s="1"/>
    </row>
    <row r="46" spans="2:31">
      <c r="B46" s="116">
        <v>45095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15090.900000000187</v>
      </c>
      <c r="P46" s="7">
        <f t="shared" si="5"/>
        <v>603636.00000000745</v>
      </c>
      <c r="Q46" s="164">
        <f t="shared" si="13"/>
        <v>193272.45000000019</v>
      </c>
      <c r="R46" s="29">
        <f t="shared" si="3"/>
        <v>109.15776187962318</v>
      </c>
      <c r="S46" s="5">
        <f>SUM($Q$7:$Q46)/T46+1</f>
        <v>179890.9000000002</v>
      </c>
      <c r="T46" s="18">
        <v>40</v>
      </c>
      <c r="U46" s="138"/>
      <c r="V46" s="137"/>
      <c r="W46" s="105">
        <v>-3206599</v>
      </c>
      <c r="X46" s="167"/>
      <c r="Y46" s="156">
        <f>Y45-K46-L46</f>
        <v>-3206599</v>
      </c>
      <c r="Z46" s="217"/>
      <c r="AD46" s="1"/>
      <c r="AE46" s="1"/>
    </row>
    <row r="47" spans="2:31">
      <c r="B47" s="116">
        <v>45096</v>
      </c>
      <c r="C47" s="14"/>
      <c r="D47" s="87"/>
      <c r="E47" s="87">
        <v>42</v>
      </c>
      <c r="F47" s="23">
        <v>-4089604</v>
      </c>
      <c r="G47" s="26">
        <f>D47+E47+F47-E44-F44</f>
        <v>25584</v>
      </c>
      <c r="H47" s="132">
        <v>-600</v>
      </c>
      <c r="I47" s="25">
        <v>-6000</v>
      </c>
      <c r="J47" s="25">
        <v>100</v>
      </c>
      <c r="K47" s="170">
        <f t="shared" si="8"/>
        <v>-6500</v>
      </c>
      <c r="L47" s="171">
        <v>-12</v>
      </c>
      <c r="M47" s="153"/>
      <c r="N47" s="149">
        <f t="shared" si="9"/>
        <v>19072</v>
      </c>
      <c r="O47" s="67">
        <f t="shared" si="2"/>
        <v>15882.47439024409</v>
      </c>
      <c r="P47" s="7">
        <f t="shared" si="5"/>
        <v>651181.45000000764</v>
      </c>
      <c r="Q47" s="164">
        <f>Q46+N47</f>
        <v>212344.45000000019</v>
      </c>
      <c r="R47" s="29">
        <f t="shared" si="3"/>
        <v>118.41423454647423</v>
      </c>
      <c r="S47" s="5">
        <f>SUM($Q$7:$Q47)/T47+1+14465-2</f>
        <v>195145.47439024408</v>
      </c>
      <c r="T47" s="18">
        <v>41</v>
      </c>
      <c r="U47" s="138"/>
      <c r="V47" s="137"/>
      <c r="W47" s="105">
        <v>-3200087</v>
      </c>
      <c r="X47" s="167"/>
      <c r="Y47" s="156">
        <f t="shared" si="12"/>
        <v>-3200086</v>
      </c>
      <c r="Z47" s="217">
        <f>AVERAGE(Y47:Y48)</f>
        <v>-3193941</v>
      </c>
      <c r="AD47" s="1"/>
      <c r="AE47" s="1"/>
    </row>
    <row r="48" spans="2:31">
      <c r="B48" s="116">
        <v>45097</v>
      </c>
      <c r="C48" s="14" t="str">
        <f t="shared" si="0"/>
        <v/>
      </c>
      <c r="D48" s="87"/>
      <c r="E48" s="87">
        <v>29</v>
      </c>
      <c r="F48" s="23">
        <v>-4071294</v>
      </c>
      <c r="G48" s="26">
        <f>D48+E48+F48-E47-F47</f>
        <v>18297</v>
      </c>
      <c r="H48" s="132">
        <v>18300</v>
      </c>
      <c r="I48" s="25">
        <v>-30700</v>
      </c>
      <c r="J48" s="25">
        <v>100</v>
      </c>
      <c r="K48" s="170">
        <f t="shared" si="8"/>
        <v>-12300</v>
      </c>
      <c r="L48" s="171">
        <v>12</v>
      </c>
      <c r="M48" s="153"/>
      <c r="N48" s="149">
        <f t="shared" si="9"/>
        <v>6009</v>
      </c>
      <c r="O48" s="67">
        <f t="shared" si="2"/>
        <v>16779.426190476377</v>
      </c>
      <c r="P48" s="7">
        <f t="shared" si="5"/>
        <v>704735.90000000782</v>
      </c>
      <c r="Q48" s="164">
        <f>Q47+N48</f>
        <v>218353.45000000019</v>
      </c>
      <c r="R48" s="29">
        <f t="shared" si="3"/>
        <v>110.20177682539116</v>
      </c>
      <c r="S48" s="5">
        <f>SUM($Q$7:$Q48)/T48+33</f>
        <v>181611.42619047637</v>
      </c>
      <c r="T48" s="18">
        <v>42</v>
      </c>
      <c r="U48" s="138"/>
      <c r="V48" s="137"/>
      <c r="W48" s="105">
        <v>-3187798</v>
      </c>
      <c r="X48" s="167"/>
      <c r="Y48" s="156">
        <f>Y47-K48-L48+2</f>
        <v>-3187796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'APRIL 2023'!Q55</f>
        <v>233517.45000000019</v>
      </c>
    </row>
    <row r="53" spans="4:7">
      <c r="D53" s="138" t="s">
        <v>4</v>
      </c>
      <c r="E53" s="139"/>
      <c r="F53" s="143"/>
      <c r="G53" s="91">
        <f>'APRIL 2023'!E55</f>
        <v>13</v>
      </c>
    </row>
    <row r="54" spans="4:7">
      <c r="D54" s="138" t="s">
        <v>60</v>
      </c>
      <c r="E54" s="144"/>
      <c r="F54" s="143"/>
      <c r="G54" s="91">
        <f>'APRIL 2023'!F55</f>
        <v>-4046278</v>
      </c>
    </row>
    <row r="55" spans="4:7" ht="12.75" thickBot="1">
      <c r="D55" s="140" t="s">
        <v>46</v>
      </c>
      <c r="E55" s="145"/>
      <c r="F55" s="146"/>
      <c r="G55" s="158">
        <f>'APRIL 2023'!Y55</f>
        <v>-3178159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B079-53D0-409A-A29F-A45158A4C52F}">
  <sheetPr codeName="Sheet41">
    <pageSetUpPr fitToPage="1"/>
  </sheetPr>
  <dimension ref="B1:IU65506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165143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45098</v>
      </c>
      <c r="C7" s="196" t="str">
        <f t="shared" ref="C7:C48" si="0">IF(OR(WEEKDAY(B7)=1,WEEKDAY(B7)=7),"F","")</f>
        <v/>
      </c>
      <c r="D7" s="197">
        <f>-1162+1244</f>
        <v>82</v>
      </c>
      <c r="E7" s="197">
        <v>40</v>
      </c>
      <c r="F7" s="198">
        <v>-3896409</v>
      </c>
      <c r="G7" s="199">
        <f>D7+E7+F7-G53-G54</f>
        <v>174978</v>
      </c>
      <c r="H7" s="132">
        <v>-13700</v>
      </c>
      <c r="I7" s="63">
        <v>6900</v>
      </c>
      <c r="J7" s="63">
        <v>200</v>
      </c>
      <c r="K7" s="170">
        <f t="shared" ref="K7:K9" si="1">+H7+I7+J7</f>
        <v>-6600</v>
      </c>
      <c r="L7" s="169">
        <v>-16</v>
      </c>
      <c r="M7" s="203"/>
      <c r="N7" s="204">
        <f>L7+K7+G7+M7</f>
        <v>168362</v>
      </c>
      <c r="O7" s="205">
        <f t="shared" ref="O7:O48" si="2">P7/T7</f>
        <v>221572.45000000019</v>
      </c>
      <c r="P7" s="206">
        <f>(+$Q7-$Q$3)</f>
        <v>221572.45000000019</v>
      </c>
      <c r="Q7" s="207">
        <f>G52+N7</f>
        <v>386715.45000000019</v>
      </c>
      <c r="R7" s="208">
        <f t="shared" ref="R7:R48" si="3">$S7/$Q$3*100</f>
        <v>234.17005262106184</v>
      </c>
      <c r="S7" s="209">
        <f>$Q7</f>
        <v>386715.45000000019</v>
      </c>
      <c r="T7" s="210">
        <v>1</v>
      </c>
      <c r="U7" s="211">
        <f>B7</f>
        <v>45098</v>
      </c>
      <c r="V7" s="212">
        <v>1676.1</v>
      </c>
      <c r="W7" s="213">
        <v>-3181182</v>
      </c>
      <c r="X7" s="214">
        <f>AVERAGE(W7:W11)</f>
        <v>-3184815</v>
      </c>
      <c r="Y7" s="215">
        <f>G55-K7-L7</f>
        <v>-3181182</v>
      </c>
      <c r="Z7" s="216">
        <f>AVERAGE(Y7:Y13)</f>
        <v>-3184188</v>
      </c>
      <c r="AA7" s="92"/>
    </row>
    <row r="8" spans="2:255">
      <c r="B8" s="116">
        <v>45099</v>
      </c>
      <c r="C8" s="14"/>
      <c r="D8" s="87"/>
      <c r="E8" s="128">
        <v>50</v>
      </c>
      <c r="F8" s="162">
        <v>-4027106</v>
      </c>
      <c r="G8" s="26">
        <f>D8+E8+F8-E7-F7</f>
        <v>-130687</v>
      </c>
      <c r="H8" s="132">
        <v>-200</v>
      </c>
      <c r="I8" s="63">
        <v>-1000</v>
      </c>
      <c r="J8" s="63">
        <v>100</v>
      </c>
      <c r="K8" s="170">
        <f t="shared" si="1"/>
        <v>-1100</v>
      </c>
      <c r="L8" s="171">
        <v>23</v>
      </c>
      <c r="M8" s="153"/>
      <c r="N8" s="149">
        <f>L8+K8+G8+M8</f>
        <v>-131764</v>
      </c>
      <c r="O8" s="67">
        <f t="shared" si="2"/>
        <v>155689.95000000019</v>
      </c>
      <c r="P8" s="163">
        <f>(IF($Q8&lt;0,-$Q$3+P7,($Q8-$Q$3)+P7))</f>
        <v>311379.90000000037</v>
      </c>
      <c r="Q8" s="164">
        <f>Q7+N8-1</f>
        <v>254950.45000000019</v>
      </c>
      <c r="R8" s="29">
        <f t="shared" si="3"/>
        <v>194.27583972678235</v>
      </c>
      <c r="S8" s="165">
        <f>SUM($Q$7:$Q8)/T8</f>
        <v>320832.95000000019</v>
      </c>
      <c r="T8" s="166">
        <v>2</v>
      </c>
      <c r="U8" s="138">
        <f>B7+6</f>
        <v>45104</v>
      </c>
      <c r="V8" s="131"/>
      <c r="W8" s="105">
        <v>-3180105</v>
      </c>
      <c r="X8" s="167"/>
      <c r="Y8" s="156">
        <f>Y7-K8-L8</f>
        <v>-3180105</v>
      </c>
      <c r="Z8" s="217"/>
      <c r="AA8" s="92"/>
    </row>
    <row r="9" spans="2:255">
      <c r="B9" s="116">
        <v>45100</v>
      </c>
      <c r="C9" s="14" t="str">
        <f t="shared" si="0"/>
        <v/>
      </c>
      <c r="D9" s="87"/>
      <c r="E9" s="87">
        <v>105</v>
      </c>
      <c r="F9" s="23">
        <v>-4104431</v>
      </c>
      <c r="G9" s="26">
        <f>D9+E9+F9-E8-F8</f>
        <v>-77270</v>
      </c>
      <c r="H9" s="132">
        <v>-1200</v>
      </c>
      <c r="I9" s="63">
        <v>8600</v>
      </c>
      <c r="J9" s="63">
        <v>100</v>
      </c>
      <c r="K9" s="170">
        <f t="shared" si="1"/>
        <v>7500</v>
      </c>
      <c r="L9" s="171">
        <v>-8</v>
      </c>
      <c r="M9" s="153"/>
      <c r="N9" s="149">
        <f>L9+K9+G9+M9</f>
        <v>-69778</v>
      </c>
      <c r="O9" s="67">
        <f t="shared" si="2"/>
        <v>110469.11666666686</v>
      </c>
      <c r="P9" s="163">
        <f t="shared" ref="P9" si="4">(IF($Q9&lt;0,-$Q$3+P8,($Q9-$Q$3)+P8))</f>
        <v>331407.35000000056</v>
      </c>
      <c r="Q9" s="164">
        <f>Q8+N9-2</f>
        <v>185170.45000000019</v>
      </c>
      <c r="R9" s="29">
        <f t="shared" si="3"/>
        <v>166.89361139537667</v>
      </c>
      <c r="S9" s="5">
        <f>SUM($Q$7:$Q9)/T9+1</f>
        <v>275613.11666666687</v>
      </c>
      <c r="T9" s="17">
        <v>3</v>
      </c>
      <c r="U9" s="4"/>
      <c r="V9" s="131"/>
      <c r="W9" s="105">
        <v>-3187596</v>
      </c>
      <c r="X9" s="167"/>
      <c r="Y9" s="156">
        <f>Y8-K9-L9+1</f>
        <v>-3187596</v>
      </c>
      <c r="Z9" s="217"/>
      <c r="AA9" s="92"/>
    </row>
    <row r="10" spans="2:255">
      <c r="B10" s="116">
        <v>45101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87858.700000000186</v>
      </c>
      <c r="P10" s="163">
        <f>(IF($Q10&lt;0,-$Q$3+P9,($Q10-$Q$3)+P9))</f>
        <v>351434.80000000075</v>
      </c>
      <c r="Q10" s="164">
        <f>Q9+N10</f>
        <v>185170.45000000019</v>
      </c>
      <c r="R10" s="29">
        <f t="shared" si="3"/>
        <v>153.20098339015289</v>
      </c>
      <c r="S10" s="5">
        <f>SUM($Q$7:$Q10)/T10-1</f>
        <v>253000.70000000019</v>
      </c>
      <c r="T10" s="17">
        <v>4</v>
      </c>
      <c r="U10" s="4"/>
      <c r="V10" s="131"/>
      <c r="W10" s="105">
        <v>-3187596</v>
      </c>
      <c r="X10" s="167"/>
      <c r="Y10" s="156">
        <f>Y9-K10-L10</f>
        <v>-3187596</v>
      </c>
      <c r="Z10" s="217"/>
      <c r="AA10" s="92"/>
    </row>
    <row r="11" spans="2:255">
      <c r="B11" s="116">
        <v>45102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74292.450000000186</v>
      </c>
      <c r="P11" s="163">
        <f t="shared" ref="P11:P48" si="5">(IF($Q11&lt;0,-$Q$3+P10,($Q11-$Q$3)+P10))</f>
        <v>371462.25000000093</v>
      </c>
      <c r="Q11" s="164">
        <f t="shared" ref="Q11:Q18" si="6">Q10+N11</f>
        <v>185170.45000000019</v>
      </c>
      <c r="R11" s="29">
        <f t="shared" si="3"/>
        <v>144.98613322998867</v>
      </c>
      <c r="S11" s="5">
        <f>SUM($Q$7:$Q11)/T11-1</f>
        <v>239434.45000000019</v>
      </c>
      <c r="T11" s="17">
        <v>5</v>
      </c>
      <c r="U11" s="27"/>
      <c r="V11" s="134"/>
      <c r="W11" s="105">
        <v>-3187596</v>
      </c>
      <c r="X11" s="167"/>
      <c r="Y11" s="156">
        <f t="shared" ref="Y11:Y39" si="7">Y10-K11-L11</f>
        <v>-3187596</v>
      </c>
      <c r="Z11" s="217"/>
      <c r="AA11" s="92"/>
    </row>
    <row r="12" spans="2:255">
      <c r="B12" s="116">
        <v>45103</v>
      </c>
      <c r="C12" s="14"/>
      <c r="D12" s="87"/>
      <c r="E12" s="87">
        <v>75</v>
      </c>
      <c r="F12" s="23">
        <v>-4122640</v>
      </c>
      <c r="G12" s="26">
        <f>D12+E12+F12-E9-F9</f>
        <v>-18239</v>
      </c>
      <c r="H12" s="132">
        <v>300</v>
      </c>
      <c r="I12" s="63">
        <v>-200</v>
      </c>
      <c r="J12" s="63">
        <v>-400</v>
      </c>
      <c r="K12" s="170">
        <f t="shared" ref="K12:K48" si="8">+H12+I12+J12</f>
        <v>-300</v>
      </c>
      <c r="L12" s="171">
        <v>-41</v>
      </c>
      <c r="M12" s="153"/>
      <c r="N12" s="149">
        <f t="shared" ref="N12:N48" si="9">L12+K12+G12+M12</f>
        <v>-18580</v>
      </c>
      <c r="O12" s="67">
        <f t="shared" si="2"/>
        <v>62151.783333333522</v>
      </c>
      <c r="P12" s="163">
        <f t="shared" si="5"/>
        <v>372910.70000000112</v>
      </c>
      <c r="Q12" s="164">
        <f>Q11+N12+1</f>
        <v>166591.45000000019</v>
      </c>
      <c r="R12" s="29">
        <f t="shared" si="3"/>
        <v>137.63513036176741</v>
      </c>
      <c r="S12" s="5">
        <f>SUM($Q$7:$Q12)/T12</f>
        <v>227294.78333333353</v>
      </c>
      <c r="T12" s="17">
        <v>6</v>
      </c>
      <c r="U12" s="138">
        <f>B12</f>
        <v>45103</v>
      </c>
      <c r="V12" s="310">
        <v>1676.2</v>
      </c>
      <c r="W12" s="105">
        <v>-3187255</v>
      </c>
      <c r="X12" s="167">
        <f>AVERAGE(W12:W20)</f>
        <v>-3169271.4444444445</v>
      </c>
      <c r="Y12" s="156">
        <f>Y11-K12-L12</f>
        <v>-3187255</v>
      </c>
      <c r="Z12" s="217">
        <f>AVERAGE(Y12:Y20)</f>
        <v>-3169271.4444444445</v>
      </c>
      <c r="AA12" s="92"/>
    </row>
    <row r="13" spans="2:255">
      <c r="B13" s="116">
        <v>45104</v>
      </c>
      <c r="C13" s="14"/>
      <c r="D13" s="87"/>
      <c r="E13" s="87">
        <v>137</v>
      </c>
      <c r="F13" s="23">
        <v>-4109001</v>
      </c>
      <c r="G13" s="26">
        <f>D13+E13+F13-E12-F12</f>
        <v>13701</v>
      </c>
      <c r="H13" s="132">
        <v>300</v>
      </c>
      <c r="I13" s="63">
        <v>-9200</v>
      </c>
      <c r="J13" s="63">
        <v>-400</v>
      </c>
      <c r="K13" s="170">
        <f t="shared" si="8"/>
        <v>-9300</v>
      </c>
      <c r="L13" s="171">
        <v>30</v>
      </c>
      <c r="M13" s="153"/>
      <c r="N13" s="149">
        <f t="shared" si="9"/>
        <v>4431</v>
      </c>
      <c r="O13" s="67">
        <f t="shared" si="2"/>
        <v>54113.021428571614</v>
      </c>
      <c r="P13" s="163">
        <f t="shared" si="5"/>
        <v>378791.1500000013</v>
      </c>
      <c r="Q13" s="164">
        <f>Q12+N13+1</f>
        <v>171023.45000000019</v>
      </c>
      <c r="R13" s="29">
        <f t="shared" si="3"/>
        <v>132.76676663774523</v>
      </c>
      <c r="S13" s="5">
        <f>SUM($Q$7:$Q13)/T13-1</f>
        <v>219255.02142857161</v>
      </c>
      <c r="T13" s="17">
        <v>7</v>
      </c>
      <c r="U13" s="138">
        <f>B12+6</f>
        <v>45109</v>
      </c>
      <c r="V13" s="249"/>
      <c r="W13" s="105">
        <v>-3177986</v>
      </c>
      <c r="X13" s="167"/>
      <c r="Y13" s="156">
        <f>Y12-K13-L13-1</f>
        <v>-3177986</v>
      </c>
      <c r="Z13" s="217"/>
      <c r="AA13" s="92"/>
      <c r="AB13" s="92"/>
    </row>
    <row r="14" spans="2:255">
      <c r="B14" s="116">
        <v>45105</v>
      </c>
      <c r="C14" s="14"/>
      <c r="D14" s="87">
        <f>-506329-1244+18559</f>
        <v>-489014</v>
      </c>
      <c r="E14" s="87">
        <v>258</v>
      </c>
      <c r="F14" s="23">
        <v>-3624765</v>
      </c>
      <c r="G14" s="26">
        <f>D14+E14+F14-E13-F13</f>
        <v>-4657</v>
      </c>
      <c r="H14" s="132">
        <v>300</v>
      </c>
      <c r="I14" s="63">
        <v>-4600</v>
      </c>
      <c r="J14" s="63">
        <v>-400</v>
      </c>
      <c r="K14" s="170">
        <f t="shared" si="8"/>
        <v>-4700</v>
      </c>
      <c r="L14" s="171">
        <v>28</v>
      </c>
      <c r="M14" s="154"/>
      <c r="N14" s="149">
        <f>L14+K14+G14+M14</f>
        <v>-9329</v>
      </c>
      <c r="O14" s="67">
        <f>P14/T14+1</f>
        <v>46931.825000000186</v>
      </c>
      <c r="P14" s="163">
        <f t="shared" si="5"/>
        <v>375446.60000000149</v>
      </c>
      <c r="Q14" s="164">
        <f>Q13+N14+2+102</f>
        <v>161798.45000000019</v>
      </c>
      <c r="R14" s="29">
        <f t="shared" si="3"/>
        <v>128.41890058918645</v>
      </c>
      <c r="S14" s="5">
        <f>SUM($Q$7:$Q14)/T14+1</f>
        <v>212074.82500000019</v>
      </c>
      <c r="T14" s="17">
        <v>8</v>
      </c>
      <c r="U14" s="4"/>
      <c r="V14" s="4"/>
      <c r="W14" s="105">
        <v>-3173315</v>
      </c>
      <c r="X14" s="167"/>
      <c r="Y14" s="156">
        <f>Y13-K14-L14-1</f>
        <v>-3173315</v>
      </c>
      <c r="Z14" s="217"/>
      <c r="AA14" s="92"/>
    </row>
    <row r="15" spans="2:255">
      <c r="B15" s="116">
        <v>45106</v>
      </c>
      <c r="C15" s="14" t="str">
        <f t="shared" si="0"/>
        <v/>
      </c>
      <c r="D15" s="87">
        <f>-743+4327</f>
        <v>3584</v>
      </c>
      <c r="E15" s="87">
        <v>43</v>
      </c>
      <c r="F15" s="23">
        <v>-3628393</v>
      </c>
      <c r="G15" s="26">
        <f>D15+E15+F15-E14-F14</f>
        <v>-259</v>
      </c>
      <c r="H15" s="132">
        <v>300</v>
      </c>
      <c r="I15" s="63">
        <v>-3400</v>
      </c>
      <c r="J15" s="63">
        <v>-500</v>
      </c>
      <c r="K15" s="170">
        <f>+H15+I15+J15</f>
        <v>-3600</v>
      </c>
      <c r="L15" s="172">
        <v>35</v>
      </c>
      <c r="M15" s="153"/>
      <c r="N15" s="149">
        <f>L15+K15+G15+M15</f>
        <v>-3824</v>
      </c>
      <c r="O15" s="67">
        <f t="shared" si="2"/>
        <v>40916.450000000186</v>
      </c>
      <c r="P15" s="7">
        <f t="shared" si="5"/>
        <v>368248.05000000168</v>
      </c>
      <c r="Q15" s="164">
        <f>Q14+N15-30</f>
        <v>157944.45000000019</v>
      </c>
      <c r="R15" s="29">
        <f t="shared" si="3"/>
        <v>124.77698116178111</v>
      </c>
      <c r="S15" s="5">
        <f>SUM($Q$7:$Q15)/T15+1</f>
        <v>206060.45000000019</v>
      </c>
      <c r="T15" s="17">
        <v>9</v>
      </c>
      <c r="U15" s="4"/>
      <c r="V15" s="4"/>
      <c r="W15" s="105">
        <v>-3169751</v>
      </c>
      <c r="X15" s="167"/>
      <c r="Y15" s="156">
        <f>Y14-K15-L15-1</f>
        <v>-3169751</v>
      </c>
      <c r="Z15" s="217"/>
      <c r="AA15" s="92"/>
      <c r="AB15" s="92"/>
    </row>
    <row r="16" spans="2:255" s="69" customFormat="1">
      <c r="B16" s="116">
        <v>45107</v>
      </c>
      <c r="C16" s="14"/>
      <c r="D16" s="129"/>
      <c r="E16" s="87">
        <v>150</v>
      </c>
      <c r="F16" s="23">
        <v>-3576768</v>
      </c>
      <c r="G16" s="26">
        <f>D16+E16+F16-E15-F15</f>
        <v>51732</v>
      </c>
      <c r="H16" s="132">
        <v>200</v>
      </c>
      <c r="I16" s="63">
        <v>-34800</v>
      </c>
      <c r="J16" s="63">
        <v>-500</v>
      </c>
      <c r="K16" s="170">
        <f t="shared" si="8"/>
        <v>-35100</v>
      </c>
      <c r="L16" s="172">
        <v>-38</v>
      </c>
      <c r="M16" s="153"/>
      <c r="N16" s="152">
        <f>L16+K16+G16+M16</f>
        <v>16594</v>
      </c>
      <c r="O16" s="67">
        <f t="shared" si="2"/>
        <v>37764.450000000186</v>
      </c>
      <c r="P16" s="70">
        <f t="shared" si="5"/>
        <v>377644.50000000186</v>
      </c>
      <c r="Q16" s="164">
        <f>Q15+N16+1</f>
        <v>174539.45000000019</v>
      </c>
      <c r="R16" s="71">
        <f t="shared" si="3"/>
        <v>122.86772675802196</v>
      </c>
      <c r="S16" s="72">
        <f>SUM($Q$7:$Q16)/T16</f>
        <v>202907.45000000019</v>
      </c>
      <c r="T16" s="73">
        <v>10</v>
      </c>
      <c r="U16" s="218"/>
      <c r="V16" s="133"/>
      <c r="W16" s="105">
        <v>-3134613</v>
      </c>
      <c r="X16" s="167"/>
      <c r="Y16" s="156">
        <f>Y15-K16-L16</f>
        <v>-3134613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45108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35185.540909091098</v>
      </c>
      <c r="P17" s="7">
        <f t="shared" si="5"/>
        <v>387040.95000000205</v>
      </c>
      <c r="Q17" s="164">
        <f t="shared" si="6"/>
        <v>174539.45000000019</v>
      </c>
      <c r="R17" s="29">
        <f t="shared" si="3"/>
        <v>121.3061049569713</v>
      </c>
      <c r="S17" s="5">
        <f>SUM($Q$7:$Q17)/T17</f>
        <v>200328.5409090911</v>
      </c>
      <c r="T17" s="18">
        <v>11</v>
      </c>
      <c r="U17" s="27"/>
      <c r="V17" s="136"/>
      <c r="W17" s="105">
        <v>-3134613</v>
      </c>
      <c r="X17" s="167"/>
      <c r="Y17" s="156">
        <f t="shared" si="7"/>
        <v>-3134613</v>
      </c>
      <c r="Z17" s="217"/>
      <c r="AA17" s="92"/>
      <c r="AC17" s="92"/>
    </row>
    <row r="18" spans="2:31">
      <c r="B18" s="116">
        <v>45109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33036.450000000186</v>
      </c>
      <c r="P18" s="7">
        <f t="shared" si="5"/>
        <v>396437.40000000224</v>
      </c>
      <c r="Q18" s="164">
        <f t="shared" si="6"/>
        <v>174539.45000000019</v>
      </c>
      <c r="R18" s="29">
        <f t="shared" si="3"/>
        <v>120.00414792028738</v>
      </c>
      <c r="S18" s="5">
        <f>SUM($Q$7:$Q18)/T18-1</f>
        <v>198178.45000000019</v>
      </c>
      <c r="T18" s="18">
        <v>12</v>
      </c>
      <c r="U18" s="27"/>
      <c r="V18" s="136"/>
      <c r="W18" s="105">
        <v>-3134613</v>
      </c>
      <c r="X18" s="167"/>
      <c r="Y18" s="156">
        <f t="shared" si="7"/>
        <v>-3134613</v>
      </c>
      <c r="Z18" s="217"/>
      <c r="AA18" s="92"/>
    </row>
    <row r="19" spans="2:31">
      <c r="B19" s="116">
        <v>45110</v>
      </c>
      <c r="C19" s="14" t="str">
        <f t="shared" si="0"/>
        <v/>
      </c>
      <c r="D19" s="87"/>
      <c r="E19" s="87">
        <v>220</v>
      </c>
      <c r="F19" s="23">
        <v>-3661233</v>
      </c>
      <c r="G19" s="26">
        <f>D19+E19+F19-E16-F16</f>
        <v>-84395</v>
      </c>
      <c r="H19" s="132">
        <v>17900</v>
      </c>
      <c r="I19" s="63">
        <v>56400</v>
      </c>
      <c r="J19" s="63">
        <v>-400</v>
      </c>
      <c r="K19" s="170">
        <f t="shared" si="8"/>
        <v>73900</v>
      </c>
      <c r="L19" s="171">
        <v>-42</v>
      </c>
      <c r="M19" s="153"/>
      <c r="N19" s="149">
        <f t="shared" si="9"/>
        <v>-10537</v>
      </c>
      <c r="O19" s="67">
        <f t="shared" si="2"/>
        <v>30407.450000000186</v>
      </c>
      <c r="P19" s="7">
        <f t="shared" si="5"/>
        <v>395296.85000000242</v>
      </c>
      <c r="Q19" s="164">
        <f>Q18+N19</f>
        <v>164002.45000000019</v>
      </c>
      <c r="R19" s="29">
        <f t="shared" si="3"/>
        <v>118.41279981591724</v>
      </c>
      <c r="S19" s="5">
        <f>SUM($Q$7:$Q19)/T19</f>
        <v>195550.45000000019</v>
      </c>
      <c r="T19" s="18">
        <v>13</v>
      </c>
      <c r="U19" s="138">
        <f>B19</f>
        <v>45110</v>
      </c>
      <c r="V19" s="131">
        <v>1684</v>
      </c>
      <c r="W19" s="105">
        <v>-3208471</v>
      </c>
      <c r="X19" s="167">
        <f>AVERAGE(W20:W27)</f>
        <v>-3220069.375</v>
      </c>
      <c r="Y19" s="156">
        <f>Y18-K19-L19</f>
        <v>-3208471</v>
      </c>
      <c r="Z19" s="217">
        <f>AVERAGE(Y19:Y27)</f>
        <v>-3218780.6666666665</v>
      </c>
      <c r="AA19" s="92"/>
      <c r="AD19" s="309"/>
    </row>
    <row r="20" spans="2:31">
      <c r="B20" s="116">
        <v>45111</v>
      </c>
      <c r="C20" s="14"/>
      <c r="D20" s="87"/>
      <c r="E20" s="87">
        <v>125</v>
      </c>
      <c r="F20" s="23">
        <v>-3660451</v>
      </c>
      <c r="G20" s="26">
        <f>D20+E20+F20-E19-F19</f>
        <v>687</v>
      </c>
      <c r="H20" s="132">
        <v>-7700</v>
      </c>
      <c r="I20" s="63">
        <v>2500</v>
      </c>
      <c r="J20" s="63">
        <v>-400</v>
      </c>
      <c r="K20" s="170">
        <f t="shared" si="8"/>
        <v>-5600</v>
      </c>
      <c r="L20" s="171">
        <v>-44</v>
      </c>
      <c r="M20" s="153"/>
      <c r="N20" s="149">
        <f t="shared" si="9"/>
        <v>-4957</v>
      </c>
      <c r="O20" s="67">
        <f t="shared" si="2"/>
        <v>27799.807142857328</v>
      </c>
      <c r="P20" s="7">
        <f t="shared" si="5"/>
        <v>389197.30000000261</v>
      </c>
      <c r="Q20" s="164">
        <f>Q19+N20-2</f>
        <v>159043.45000000019</v>
      </c>
      <c r="R20" s="29">
        <f t="shared" si="3"/>
        <v>116.83377869050298</v>
      </c>
      <c r="S20" s="5">
        <f>SUM($Q$7:$Q20)/T20</f>
        <v>192942.80714285732</v>
      </c>
      <c r="T20" s="18">
        <v>14</v>
      </c>
      <c r="U20" s="138">
        <f>B19+8</f>
        <v>45118</v>
      </c>
      <c r="V20" s="131"/>
      <c r="W20" s="105">
        <v>-3202826</v>
      </c>
      <c r="X20" s="167"/>
      <c r="Y20" s="156">
        <f>Y19-K20-L20+1</f>
        <v>-3202826</v>
      </c>
      <c r="Z20" s="217"/>
      <c r="AA20" s="92"/>
      <c r="AB20" s="92"/>
    </row>
    <row r="21" spans="2:31">
      <c r="B21" s="116">
        <v>45112</v>
      </c>
      <c r="C21" s="14" t="str">
        <f t="shared" si="0"/>
        <v/>
      </c>
      <c r="D21" s="87">
        <f>-18559+12536</f>
        <v>-6023</v>
      </c>
      <c r="E21" s="87">
        <v>0</v>
      </c>
      <c r="F21" s="23">
        <v>-3659661</v>
      </c>
      <c r="G21" s="26">
        <f>D21+E21+F21-E20-F20</f>
        <v>-5358</v>
      </c>
      <c r="H21" s="132">
        <v>-15200</v>
      </c>
      <c r="I21" s="63">
        <v>23400</v>
      </c>
      <c r="J21" s="63">
        <v>-400</v>
      </c>
      <c r="K21" s="170">
        <f t="shared" si="8"/>
        <v>7800</v>
      </c>
      <c r="L21" s="171">
        <v>33</v>
      </c>
      <c r="M21" s="153"/>
      <c r="N21" s="149">
        <f>L21+K21+G21+M21</f>
        <v>2475</v>
      </c>
      <c r="O21" s="67">
        <f t="shared" si="2"/>
        <v>25705.050000000185</v>
      </c>
      <c r="P21" s="7">
        <f t="shared" si="5"/>
        <v>385575.75000000279</v>
      </c>
      <c r="Q21" s="164">
        <f>Q20+N21+3</f>
        <v>161521.45000000019</v>
      </c>
      <c r="R21" s="29">
        <f t="shared" si="3"/>
        <v>115.56472269487668</v>
      </c>
      <c r="S21" s="5">
        <f>SUM($Q$7:$Q21)/T21-1</f>
        <v>190847.05000000019</v>
      </c>
      <c r="T21" s="18">
        <v>15</v>
      </c>
      <c r="U21" s="4"/>
      <c r="V21" s="131"/>
      <c r="W21" s="105">
        <v>-3210660</v>
      </c>
      <c r="X21" s="167"/>
      <c r="Y21" s="156">
        <f>Y20-K21-L21-1</f>
        <v>-3210660</v>
      </c>
      <c r="Z21" s="217"/>
      <c r="AA21" s="92"/>
    </row>
    <row r="22" spans="2:31">
      <c r="B22" s="116">
        <v>45113</v>
      </c>
      <c r="C22" s="14" t="str">
        <f t="shared" si="0"/>
        <v/>
      </c>
      <c r="D22" s="87"/>
      <c r="E22" s="87">
        <v>0</v>
      </c>
      <c r="F22" s="23">
        <v>-3682567</v>
      </c>
      <c r="G22" s="26">
        <f>D22+E22+F22-E21-F21</f>
        <v>-22906</v>
      </c>
      <c r="H22" s="132">
        <v>-500</v>
      </c>
      <c r="I22" s="63">
        <v>16500</v>
      </c>
      <c r="J22" s="63">
        <v>-400</v>
      </c>
      <c r="K22" s="170">
        <f t="shared" si="8"/>
        <v>15600</v>
      </c>
      <c r="L22" s="171">
        <v>-34</v>
      </c>
      <c r="M22" s="153"/>
      <c r="N22" s="149">
        <f>L22+K22+G22+M22</f>
        <v>-7340</v>
      </c>
      <c r="O22" s="67">
        <f t="shared" si="2"/>
        <v>23413.325000000186</v>
      </c>
      <c r="P22" s="7">
        <f t="shared" si="5"/>
        <v>374613.20000000298</v>
      </c>
      <c r="Q22" s="164">
        <f>Q21+N22-1</f>
        <v>154180.45000000019</v>
      </c>
      <c r="R22" s="29">
        <f t="shared" si="3"/>
        <v>114.17881775188788</v>
      </c>
      <c r="S22" s="5">
        <f>SUM($Q$7:$Q22)/T22+2</f>
        <v>188558.32500000019</v>
      </c>
      <c r="T22" s="18">
        <v>16</v>
      </c>
      <c r="U22" s="4"/>
      <c r="V22" s="131"/>
      <c r="W22" s="105">
        <v>-3226226</v>
      </c>
      <c r="X22" s="167"/>
      <c r="Y22" s="156">
        <f>Y21-K22-L22</f>
        <v>-3226226</v>
      </c>
      <c r="Z22" s="217"/>
      <c r="AA22" s="92"/>
    </row>
    <row r="23" spans="2:31">
      <c r="B23" s="116">
        <v>45114</v>
      </c>
      <c r="C23" s="14"/>
      <c r="D23" s="87"/>
      <c r="E23" s="87">
        <v>2</v>
      </c>
      <c r="F23" s="23">
        <v>-3669786</v>
      </c>
      <c r="G23" s="26">
        <f>D23+E23+F23-E22-F22</f>
        <v>12783</v>
      </c>
      <c r="H23" s="132">
        <v>-3000</v>
      </c>
      <c r="I23" s="63">
        <v>3400</v>
      </c>
      <c r="J23" s="63">
        <v>-500</v>
      </c>
      <c r="K23" s="170">
        <f t="shared" si="8"/>
        <v>-100</v>
      </c>
      <c r="L23" s="171">
        <v>11</v>
      </c>
      <c r="M23" s="153"/>
      <c r="N23" s="149">
        <f>L23+K23+G23+M23</f>
        <v>12694</v>
      </c>
      <c r="O23" s="67">
        <f t="shared" si="2"/>
        <v>22137.92058823548</v>
      </c>
      <c r="P23" s="7">
        <f t="shared" si="5"/>
        <v>376344.65000000317</v>
      </c>
      <c r="Q23" s="164">
        <f>Q22+N23</f>
        <v>166874.45000000019</v>
      </c>
      <c r="R23" s="29">
        <f t="shared" si="3"/>
        <v>113.40530363880728</v>
      </c>
      <c r="S23" s="5">
        <f>SUM($Q$7:$Q23)/T23</f>
        <v>187280.92058823549</v>
      </c>
      <c r="T23" s="18">
        <v>17</v>
      </c>
      <c r="U23" s="27"/>
      <c r="V23" s="135"/>
      <c r="W23" s="105">
        <v>-3226137</v>
      </c>
      <c r="X23" s="167"/>
      <c r="Y23" s="156">
        <f>Y22-K23-L23</f>
        <v>-3226137</v>
      </c>
      <c r="Z23" s="217"/>
      <c r="AA23" s="92"/>
    </row>
    <row r="24" spans="2:31">
      <c r="B24" s="116">
        <v>45115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21004.227777777964</v>
      </c>
      <c r="P24" s="7">
        <f t="shared" si="5"/>
        <v>378076.10000000335</v>
      </c>
      <c r="Q24" s="164">
        <f t="shared" ref="Q24:Q25" si="10">Q23+N24</f>
        <v>166874.45000000019</v>
      </c>
      <c r="R24" s="29">
        <f t="shared" si="3"/>
        <v>112.71881204639492</v>
      </c>
      <c r="S24" s="5">
        <f>SUM($Q$7:$Q24)/T24</f>
        <v>186147.22777777797</v>
      </c>
      <c r="T24" s="18">
        <v>18</v>
      </c>
      <c r="U24" s="4"/>
      <c r="V24" s="135"/>
      <c r="W24" s="105">
        <v>-3226137</v>
      </c>
      <c r="X24" s="167"/>
      <c r="Y24" s="156">
        <f t="shared" si="7"/>
        <v>-3226137</v>
      </c>
      <c r="Z24" s="217"/>
      <c r="AA24" s="92"/>
      <c r="AD24" s="1"/>
      <c r="AE24" s="1"/>
    </row>
    <row r="25" spans="2:31">
      <c r="B25" s="116">
        <v>45116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19989.871052631766</v>
      </c>
      <c r="P25" s="7">
        <f t="shared" si="5"/>
        <v>379807.55000000354</v>
      </c>
      <c r="Q25" s="164">
        <f t="shared" si="10"/>
        <v>166874.45000000019</v>
      </c>
      <c r="R25" s="29">
        <f t="shared" si="3"/>
        <v>112.10458272686807</v>
      </c>
      <c r="S25" s="5">
        <f>SUM($Q$7:$Q25)/T25</f>
        <v>185132.87105263176</v>
      </c>
      <c r="T25" s="18">
        <v>19</v>
      </c>
      <c r="U25" s="4"/>
      <c r="V25" s="131"/>
      <c r="W25" s="105">
        <v>-3226137</v>
      </c>
      <c r="X25" s="167"/>
      <c r="Y25" s="156">
        <f t="shared" si="7"/>
        <v>-3226137</v>
      </c>
      <c r="Z25" s="217"/>
      <c r="AA25" s="92"/>
      <c r="AD25" s="1"/>
      <c r="AE25" s="1"/>
    </row>
    <row r="26" spans="2:31">
      <c r="B26" s="116">
        <v>45117</v>
      </c>
      <c r="C26" s="14"/>
      <c r="D26" s="87"/>
      <c r="E26" s="87">
        <v>0</v>
      </c>
      <c r="F26" s="23">
        <v>-3669416</v>
      </c>
      <c r="G26" s="26">
        <f>D26+E26+F26-E23-F23</f>
        <v>368</v>
      </c>
      <c r="H26" s="132">
        <v>200</v>
      </c>
      <c r="I26" s="63">
        <v>-3600</v>
      </c>
      <c r="J26" s="63">
        <v>-100</v>
      </c>
      <c r="K26" s="170">
        <f t="shared" si="8"/>
        <v>-3500</v>
      </c>
      <c r="L26" s="171">
        <v>-29</v>
      </c>
      <c r="M26" s="153"/>
      <c r="N26" s="149">
        <f t="shared" si="9"/>
        <v>-3161</v>
      </c>
      <c r="O26" s="67">
        <f t="shared" si="2"/>
        <v>18918.900000000187</v>
      </c>
      <c r="P26" s="7">
        <f t="shared" si="5"/>
        <v>378378.00000000373</v>
      </c>
      <c r="Q26" s="164">
        <f>Q25+N26</f>
        <v>163713.45000000019</v>
      </c>
      <c r="R26" s="29">
        <f t="shared" si="3"/>
        <v>111.45486033316591</v>
      </c>
      <c r="S26" s="5">
        <f>SUM($Q$7:$Q26)/T26-2</f>
        <v>184059.9000000002</v>
      </c>
      <c r="T26" s="18">
        <v>20</v>
      </c>
      <c r="U26" s="138">
        <f>B26</f>
        <v>45117</v>
      </c>
      <c r="V26" s="131">
        <v>1653.3</v>
      </c>
      <c r="W26" s="105">
        <v>-3222608</v>
      </c>
      <c r="X26" s="167">
        <f>AVERAGE(W26:W34)</f>
        <v>-3214347.111111111</v>
      </c>
      <c r="Y26" s="156">
        <f>Y25-K26-L26</f>
        <v>-3222608</v>
      </c>
      <c r="Z26" s="217">
        <f>AVERAGE(Y26:Y34)</f>
        <v>-3214347.4444444445</v>
      </c>
      <c r="AC26" s="92"/>
      <c r="AD26" s="1"/>
      <c r="AE26" s="1"/>
    </row>
    <row r="27" spans="2:31">
      <c r="B27" s="116">
        <v>45118</v>
      </c>
      <c r="C27" s="14" t="str">
        <f t="shared" si="0"/>
        <v/>
      </c>
      <c r="D27" s="87"/>
      <c r="E27" s="87">
        <v>35</v>
      </c>
      <c r="F27" s="23">
        <v>-3673255</v>
      </c>
      <c r="G27" s="26">
        <f>D27+E27+F27-E26-F26</f>
        <v>-3804</v>
      </c>
      <c r="H27" s="132">
        <v>300</v>
      </c>
      <c r="I27" s="63">
        <v>-3000</v>
      </c>
      <c r="J27" s="63">
        <v>-100</v>
      </c>
      <c r="K27" s="170">
        <f t="shared" si="8"/>
        <v>-2800</v>
      </c>
      <c r="L27" s="171">
        <v>15</v>
      </c>
      <c r="M27" s="153"/>
      <c r="N27" s="149">
        <f>L27+K27+G27+M27</f>
        <v>-6589</v>
      </c>
      <c r="O27" s="67">
        <f t="shared" si="2"/>
        <v>17636.211904762091</v>
      </c>
      <c r="P27" s="7">
        <f t="shared" si="5"/>
        <v>370360.45000000391</v>
      </c>
      <c r="Q27" s="164">
        <f>Q26+N27+1</f>
        <v>157125.45000000019</v>
      </c>
      <c r="R27" s="29">
        <f t="shared" si="3"/>
        <v>110.67935783215886</v>
      </c>
      <c r="S27" s="5">
        <f>SUM($Q$7:$Q27)/T27</f>
        <v>182779.21190476208</v>
      </c>
      <c r="T27" s="18">
        <v>21</v>
      </c>
      <c r="U27" s="138">
        <f>B28+6</f>
        <v>45125</v>
      </c>
      <c r="V27" s="159"/>
      <c r="W27" s="105">
        <v>-3219824</v>
      </c>
      <c r="X27" s="167"/>
      <c r="Y27" s="156">
        <f>Y26-K27-L27-1</f>
        <v>-3219824</v>
      </c>
      <c r="Z27" s="217"/>
      <c r="AA27" s="92"/>
      <c r="AD27" s="1"/>
      <c r="AE27" s="1"/>
    </row>
    <row r="28" spans="2:31">
      <c r="B28" s="116">
        <v>45119</v>
      </c>
      <c r="C28" s="14" t="str">
        <f t="shared" si="0"/>
        <v/>
      </c>
      <c r="D28" s="87">
        <f>-12536+11833</f>
        <v>-703</v>
      </c>
      <c r="E28" s="87">
        <v>36</v>
      </c>
      <c r="F28" s="23">
        <v>-3672163</v>
      </c>
      <c r="G28" s="26">
        <f>D28+E28+F28-E27-F27</f>
        <v>390</v>
      </c>
      <c r="H28" s="132">
        <v>300</v>
      </c>
      <c r="I28" s="63">
        <v>400</v>
      </c>
      <c r="J28" s="63">
        <v>-100</v>
      </c>
      <c r="K28" s="170">
        <f t="shared" si="8"/>
        <v>600</v>
      </c>
      <c r="L28" s="171">
        <v>-38</v>
      </c>
      <c r="M28" s="153"/>
      <c r="N28" s="149">
        <f>L28+K28+G28+M28</f>
        <v>952</v>
      </c>
      <c r="O28" s="67">
        <f t="shared" si="2"/>
        <v>16513.359090909278</v>
      </c>
      <c r="P28" s="7">
        <f t="shared" si="5"/>
        <v>363293.9000000041</v>
      </c>
      <c r="Q28" s="164">
        <f>Q27+N28-1</f>
        <v>158076.45000000019</v>
      </c>
      <c r="R28" s="29">
        <f t="shared" si="3"/>
        <v>109.99882471004479</v>
      </c>
      <c r="S28" s="5">
        <f>SUM($Q$7:$Q28)/T28-1</f>
        <v>181655.35909090927</v>
      </c>
      <c r="T28" s="18">
        <v>22</v>
      </c>
      <c r="U28" s="4"/>
      <c r="V28" s="131"/>
      <c r="W28" s="105">
        <v>-3220385</v>
      </c>
      <c r="X28" s="167"/>
      <c r="Y28" s="156">
        <f>Y27-K28-L28+1</f>
        <v>-3220385</v>
      </c>
      <c r="Z28" s="217"/>
      <c r="AA28" s="92"/>
      <c r="AD28" s="1"/>
      <c r="AE28" s="1"/>
    </row>
    <row r="29" spans="2:31">
      <c r="B29" s="116">
        <v>45120</v>
      </c>
      <c r="C29" s="14" t="str">
        <f t="shared" si="0"/>
        <v/>
      </c>
      <c r="D29" s="87"/>
      <c r="E29" s="87">
        <v>65</v>
      </c>
      <c r="F29" s="23">
        <v>-3674679</v>
      </c>
      <c r="G29" s="26">
        <f>D29+E29+F29-E28-F28</f>
        <v>-2487</v>
      </c>
      <c r="H29" s="132">
        <v>300</v>
      </c>
      <c r="I29" s="63">
        <v>2400</v>
      </c>
      <c r="J29" s="63">
        <v>-100</v>
      </c>
      <c r="K29" s="170">
        <f t="shared" si="8"/>
        <v>2600</v>
      </c>
      <c r="L29" s="171">
        <v>2</v>
      </c>
      <c r="M29" s="153"/>
      <c r="N29" s="149">
        <f>L29+K29+G29+M29</f>
        <v>115</v>
      </c>
      <c r="O29" s="67">
        <f t="shared" si="2"/>
        <v>15493.189130434968</v>
      </c>
      <c r="P29" s="7">
        <f t="shared" si="5"/>
        <v>356343.35000000428</v>
      </c>
      <c r="Q29" s="164">
        <f>Q28+N29+1</f>
        <v>158192.45000000019</v>
      </c>
      <c r="R29" s="29">
        <f t="shared" si="3"/>
        <v>109.38107526836436</v>
      </c>
      <c r="S29" s="5">
        <f>SUM($Q$7:$Q29)/T29-1</f>
        <v>180635.18913043497</v>
      </c>
      <c r="T29" s="18">
        <v>23</v>
      </c>
      <c r="U29" s="4"/>
      <c r="V29" s="131"/>
      <c r="W29" s="105">
        <v>-3222987</v>
      </c>
      <c r="X29" s="167"/>
      <c r="Y29" s="156">
        <f>Y28-K29-L29</f>
        <v>-3222987</v>
      </c>
      <c r="Z29" s="217"/>
      <c r="AA29" s="92"/>
      <c r="AD29" s="1"/>
      <c r="AE29" s="1"/>
    </row>
    <row r="30" spans="2:31">
      <c r="B30" s="116">
        <v>45121</v>
      </c>
      <c r="C30" s="14" t="str">
        <f t="shared" si="0"/>
        <v/>
      </c>
      <c r="D30" s="87"/>
      <c r="E30" s="87">
        <v>51</v>
      </c>
      <c r="F30" s="23">
        <v>-3671363</v>
      </c>
      <c r="G30" s="26">
        <f>D30+E30+F30-E29-F29</f>
        <v>3302</v>
      </c>
      <c r="H30" s="132">
        <v>2800</v>
      </c>
      <c r="I30" s="25">
        <v>-7600</v>
      </c>
      <c r="J30" s="25">
        <v>-200</v>
      </c>
      <c r="K30" s="170">
        <f t="shared" si="8"/>
        <v>-5000</v>
      </c>
      <c r="L30" s="171">
        <v>-49</v>
      </c>
      <c r="M30" s="153"/>
      <c r="N30" s="149">
        <f>L30+K30+G30+M30</f>
        <v>-1747</v>
      </c>
      <c r="O30" s="67">
        <f t="shared" si="2"/>
        <v>14485.241666666852</v>
      </c>
      <c r="P30" s="7">
        <f t="shared" si="5"/>
        <v>347645.80000000447</v>
      </c>
      <c r="Q30" s="164">
        <f>Q29+N30</f>
        <v>156445.45000000019</v>
      </c>
      <c r="R30" s="29">
        <f t="shared" si="3"/>
        <v>108.77436020095726</v>
      </c>
      <c r="S30" s="5">
        <f>SUM($Q$7:$Q30)/T30+5</f>
        <v>179633.24166666684</v>
      </c>
      <c r="T30" s="18">
        <v>24</v>
      </c>
      <c r="U30" s="4"/>
      <c r="V30" s="131"/>
      <c r="W30" s="105">
        <v>-3217938</v>
      </c>
      <c r="X30" s="167"/>
      <c r="Y30" s="156">
        <f>Y29-K30-L30-1</f>
        <v>-3217939</v>
      </c>
      <c r="Z30" s="217"/>
      <c r="AA30" s="92"/>
      <c r="AD30" s="1"/>
      <c r="AE30" s="1"/>
    </row>
    <row r="31" spans="2:31">
      <c r="B31" s="116">
        <v>45122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13557.930000000186</v>
      </c>
      <c r="P31" s="7">
        <f t="shared" si="5"/>
        <v>338948.25000000466</v>
      </c>
      <c r="Q31" s="164">
        <f t="shared" ref="Q31:Q39" si="11">Q30+N31</f>
        <v>156445.45000000019</v>
      </c>
      <c r="R31" s="29">
        <f t="shared" si="3"/>
        <v>108.20920656643042</v>
      </c>
      <c r="S31" s="5">
        <f>SUM($Q$7:$Q31)/T31-1</f>
        <v>178699.9300000002</v>
      </c>
      <c r="T31" s="18">
        <v>25</v>
      </c>
      <c r="U31" s="4"/>
      <c r="V31" s="137"/>
      <c r="W31" s="105">
        <v>-3217938</v>
      </c>
      <c r="X31" s="167"/>
      <c r="Y31" s="156">
        <f t="shared" si="7"/>
        <v>-3217939</v>
      </c>
      <c r="Z31" s="217"/>
      <c r="AA31" s="92"/>
      <c r="AB31" s="92"/>
      <c r="AD31" s="1"/>
      <c r="AE31" s="1"/>
    </row>
    <row r="32" spans="2:31">
      <c r="B32" s="116">
        <v>45123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12701.950000000186</v>
      </c>
      <c r="P32" s="7">
        <f t="shared" si="5"/>
        <v>330250.70000000484</v>
      </c>
      <c r="Q32" s="164">
        <f t="shared" si="11"/>
        <v>156445.45000000019</v>
      </c>
      <c r="R32" s="29">
        <f t="shared" si="3"/>
        <v>107.69088002519041</v>
      </c>
      <c r="S32" s="5">
        <f>SUM($Q$7:$Q32)/T32-1</f>
        <v>177843.95000000019</v>
      </c>
      <c r="T32" s="18">
        <v>26</v>
      </c>
      <c r="U32" s="27"/>
      <c r="V32" s="137"/>
      <c r="W32" s="105">
        <v>-3217938</v>
      </c>
      <c r="X32" s="167"/>
      <c r="Y32" s="156">
        <f t="shared" si="7"/>
        <v>-3217939</v>
      </c>
      <c r="Z32" s="217"/>
      <c r="AD32" s="1"/>
      <c r="AE32" s="1"/>
    </row>
    <row r="33" spans="2:31">
      <c r="B33" s="116">
        <v>45124</v>
      </c>
      <c r="C33" s="14" t="str">
        <f t="shared" si="0"/>
        <v/>
      </c>
      <c r="D33" s="87"/>
      <c r="E33" s="87">
        <v>12</v>
      </c>
      <c r="F33" s="23">
        <v>-3650686</v>
      </c>
      <c r="G33" s="26">
        <f>D33+E33+F33-E30-F30</f>
        <v>20638</v>
      </c>
      <c r="H33" s="132">
        <v>300</v>
      </c>
      <c r="I33" s="25">
        <v>-22600</v>
      </c>
      <c r="J33" s="25">
        <v>200</v>
      </c>
      <c r="K33" s="170">
        <f t="shared" si="8"/>
        <v>-22100</v>
      </c>
      <c r="L33" s="171">
        <v>31</v>
      </c>
      <c r="M33" s="153"/>
      <c r="N33" s="149">
        <f t="shared" si="9"/>
        <v>-1431</v>
      </c>
      <c r="O33" s="67">
        <f t="shared" si="2"/>
        <v>11856.375925926111</v>
      </c>
      <c r="P33" s="7">
        <f t="shared" si="5"/>
        <v>320122.15000000503</v>
      </c>
      <c r="Q33" s="164">
        <f>Q32+N33</f>
        <v>155014.45000000019</v>
      </c>
      <c r="R33" s="29">
        <f t="shared" si="3"/>
        <v>107.17885464471767</v>
      </c>
      <c r="S33" s="5">
        <f>SUM($Q$7:$Q33)/T33-1</f>
        <v>176998.37592592611</v>
      </c>
      <c r="T33" s="18">
        <v>27</v>
      </c>
      <c r="U33" s="138">
        <f>B33</f>
        <v>45124</v>
      </c>
      <c r="V33" s="131">
        <v>1670.2</v>
      </c>
      <c r="W33" s="105">
        <v>-3195870</v>
      </c>
      <c r="X33" s="167">
        <f>AVERAGE(W33:W41)</f>
        <v>-3182268.6666666665</v>
      </c>
      <c r="Y33" s="156">
        <f>Y32-K33-L33</f>
        <v>-3195870</v>
      </c>
      <c r="Z33" s="217">
        <f>AVERAGE(Y33:Y41)</f>
        <v>-3182268.6666666665</v>
      </c>
      <c r="AD33" s="1"/>
      <c r="AE33" s="1"/>
    </row>
    <row r="34" spans="2:31">
      <c r="B34" s="116">
        <v>45125</v>
      </c>
      <c r="C34" s="14" t="str">
        <f t="shared" si="0"/>
        <v/>
      </c>
      <c r="D34" s="87"/>
      <c r="E34" s="87">
        <v>2044</v>
      </c>
      <c r="F34" s="23">
        <v>-3642594</v>
      </c>
      <c r="G34" s="26">
        <f>D34+E34+F34-E33-F33</f>
        <v>10124</v>
      </c>
      <c r="H34" s="132">
        <v>300</v>
      </c>
      <c r="I34" s="25">
        <v>-2700</v>
      </c>
      <c r="J34" s="25">
        <v>200</v>
      </c>
      <c r="K34" s="170">
        <f t="shared" si="8"/>
        <v>-2200</v>
      </c>
      <c r="L34" s="171">
        <v>-33</v>
      </c>
      <c r="M34" s="153"/>
      <c r="N34" s="149">
        <f>L34+K34+G34+M34</f>
        <v>7891</v>
      </c>
      <c r="O34" s="67">
        <f t="shared" si="2"/>
        <v>11352.9857142859</v>
      </c>
      <c r="P34" s="7">
        <f t="shared" si="5"/>
        <v>317883.60000000522</v>
      </c>
      <c r="Q34" s="164">
        <f>Q33+N34-1</f>
        <v>162904.45000000019</v>
      </c>
      <c r="R34" s="29">
        <f t="shared" si="3"/>
        <v>106.87403384599159</v>
      </c>
      <c r="S34" s="5">
        <f>SUM($Q$7:$Q34)/T34-1</f>
        <v>176494.9857142859</v>
      </c>
      <c r="T34" s="18">
        <v>28</v>
      </c>
      <c r="U34" s="138">
        <f>B33+8</f>
        <v>45132</v>
      </c>
      <c r="V34" s="131"/>
      <c r="W34" s="105">
        <v>-3193636</v>
      </c>
      <c r="X34" s="167"/>
      <c r="Y34" s="156">
        <f>Y33-K34-L34+1</f>
        <v>-3193636</v>
      </c>
      <c r="Z34" s="217"/>
      <c r="AA34" s="92"/>
      <c r="AD34" s="1"/>
      <c r="AE34" s="1"/>
    </row>
    <row r="35" spans="2:31">
      <c r="B35" s="116">
        <v>45126</v>
      </c>
      <c r="C35" s="14" t="str">
        <f t="shared" si="0"/>
        <v/>
      </c>
      <c r="D35" s="87">
        <f>-11833+10025</f>
        <v>-1808</v>
      </c>
      <c r="E35" s="87">
        <v>45</v>
      </c>
      <c r="F35" s="23">
        <v>-3628519</v>
      </c>
      <c r="G35" s="26">
        <f>D35+E35+F35-E34-F34</f>
        <v>10268</v>
      </c>
      <c r="H35" s="132">
        <v>300</v>
      </c>
      <c r="I35" s="25">
        <v>-19600</v>
      </c>
      <c r="J35" s="25">
        <v>200</v>
      </c>
      <c r="K35" s="170">
        <f t="shared" si="8"/>
        <v>-19100</v>
      </c>
      <c r="L35" s="171">
        <v>41</v>
      </c>
      <c r="M35" s="153"/>
      <c r="N35" s="149">
        <f t="shared" si="9"/>
        <v>-8791</v>
      </c>
      <c r="O35" s="67">
        <f t="shared" si="2"/>
        <v>10581.208620689842</v>
      </c>
      <c r="P35" s="7">
        <f t="shared" si="5"/>
        <v>306855.0500000054</v>
      </c>
      <c r="Q35" s="164">
        <f>Q34+N35+1</f>
        <v>154114.45000000019</v>
      </c>
      <c r="R35" s="29">
        <f t="shared" si="3"/>
        <v>106.40730071555551</v>
      </c>
      <c r="S35" s="5">
        <f>SUM($Q$7:$Q35)/T35</f>
        <v>175724.20862068984</v>
      </c>
      <c r="T35" s="18">
        <v>29</v>
      </c>
      <c r="U35" s="4"/>
      <c r="V35" s="131"/>
      <c r="W35" s="105">
        <v>-3174578</v>
      </c>
      <c r="X35" s="167"/>
      <c r="Y35" s="156">
        <f>Y34-K35-L35-1</f>
        <v>-3174578</v>
      </c>
      <c r="Z35" s="217"/>
      <c r="AA35" s="92"/>
      <c r="AD35" s="1"/>
      <c r="AE35" s="1"/>
    </row>
    <row r="36" spans="2:31">
      <c r="B36" s="116">
        <v>45127</v>
      </c>
      <c r="C36" s="14" t="str">
        <f t="shared" si="0"/>
        <v/>
      </c>
      <c r="D36" s="87"/>
      <c r="E36" s="87">
        <v>50</v>
      </c>
      <c r="F36" s="23">
        <v>-3626548</v>
      </c>
      <c r="G36" s="26">
        <f>D36+E36+F36-E35-F35</f>
        <v>1976</v>
      </c>
      <c r="H36" s="132">
        <v>300</v>
      </c>
      <c r="I36" s="25">
        <v>200</v>
      </c>
      <c r="J36" s="25">
        <v>200</v>
      </c>
      <c r="K36" s="170">
        <f t="shared" si="8"/>
        <v>700</v>
      </c>
      <c r="L36" s="171">
        <v>22</v>
      </c>
      <c r="M36" s="153"/>
      <c r="N36" s="149">
        <f t="shared" si="9"/>
        <v>2698</v>
      </c>
      <c r="O36" s="67">
        <f t="shared" si="2"/>
        <v>9950.7833333335202</v>
      </c>
      <c r="P36" s="7">
        <f t="shared" si="5"/>
        <v>298523.50000000559</v>
      </c>
      <c r="Q36" s="164">
        <f>Q35+N36-1</f>
        <v>156811.45000000019</v>
      </c>
      <c r="R36" s="29">
        <f t="shared" si="3"/>
        <v>106.02495009375725</v>
      </c>
      <c r="S36" s="5">
        <f>SUM($Q$7:$Q36)/T36-1</f>
        <v>175092.78333333353</v>
      </c>
      <c r="T36" s="18">
        <v>30</v>
      </c>
      <c r="U36" s="4"/>
      <c r="V36" s="136"/>
      <c r="W36" s="105">
        <v>-3175299</v>
      </c>
      <c r="X36" s="167"/>
      <c r="Y36" s="156">
        <f>Y35-K36-L36+1</f>
        <v>-3175299</v>
      </c>
      <c r="Z36" s="217"/>
      <c r="AD36" s="1"/>
      <c r="AE36" s="1"/>
    </row>
    <row r="37" spans="2:31">
      <c r="B37" s="116">
        <v>45128</v>
      </c>
      <c r="C37" s="14"/>
      <c r="D37" s="87"/>
      <c r="E37" s="87">
        <v>55</v>
      </c>
      <c r="F37" s="23">
        <v>-3633959</v>
      </c>
      <c r="G37" s="26">
        <f>D37+E37+F37-E36-F36</f>
        <v>-7406</v>
      </c>
      <c r="H37" s="132">
        <v>2800</v>
      </c>
      <c r="I37" s="25">
        <v>4900</v>
      </c>
      <c r="J37" s="25">
        <v>200</v>
      </c>
      <c r="K37" s="170">
        <f t="shared" si="8"/>
        <v>7900</v>
      </c>
      <c r="L37" s="171">
        <v>37</v>
      </c>
      <c r="M37" s="153"/>
      <c r="N37" s="149">
        <f t="shared" si="9"/>
        <v>531</v>
      </c>
      <c r="O37" s="67">
        <f t="shared" si="2"/>
        <v>9378.0629032259931</v>
      </c>
      <c r="P37" s="7">
        <f t="shared" si="5"/>
        <v>290719.95000000577</v>
      </c>
      <c r="Q37" s="164">
        <f>Q36+N37-3</f>
        <v>157339.45000000019</v>
      </c>
      <c r="R37" s="29">
        <f t="shared" si="3"/>
        <v>105.6793584367645</v>
      </c>
      <c r="S37" s="5">
        <f>SUM($Q$7:$Q37)/T37+1</f>
        <v>174522.062903226</v>
      </c>
      <c r="T37" s="18">
        <v>31</v>
      </c>
      <c r="U37" s="27"/>
      <c r="V37" s="137"/>
      <c r="W37" s="105">
        <v>-3183234</v>
      </c>
      <c r="X37" s="167"/>
      <c r="Y37" s="156">
        <f>Y36-K37-L37+2</f>
        <v>-3183234</v>
      </c>
      <c r="Z37" s="217"/>
      <c r="AA37" s="92"/>
      <c r="AD37" s="1"/>
      <c r="AE37" s="1"/>
    </row>
    <row r="38" spans="2:31">
      <c r="B38" s="116">
        <v>45129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8841.1375000001863</v>
      </c>
      <c r="P38" s="7">
        <f t="shared" si="5"/>
        <v>282916.40000000596</v>
      </c>
      <c r="Q38" s="164">
        <f t="shared" si="11"/>
        <v>157339.45000000019</v>
      </c>
      <c r="R38" s="29">
        <f t="shared" si="3"/>
        <v>105.35362534288477</v>
      </c>
      <c r="S38" s="5">
        <f>SUM($Q$7:$Q38)/T38</f>
        <v>173984.13750000019</v>
      </c>
      <c r="T38" s="18">
        <v>32</v>
      </c>
      <c r="U38" s="27"/>
      <c r="V38" s="137"/>
      <c r="W38" s="105">
        <v>-3183234</v>
      </c>
      <c r="X38" s="167"/>
      <c r="Y38" s="156">
        <f t="shared" si="7"/>
        <v>-3183234</v>
      </c>
      <c r="Z38" s="217"/>
      <c r="AD38" s="1"/>
      <c r="AE38" s="1"/>
    </row>
    <row r="39" spans="2:31">
      <c r="B39" s="116">
        <v>45130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8336.7530303032163</v>
      </c>
      <c r="P39" s="7">
        <f t="shared" si="5"/>
        <v>275112.85000000615</v>
      </c>
      <c r="Q39" s="164">
        <f t="shared" si="11"/>
        <v>157339.45000000019</v>
      </c>
      <c r="R39" s="29">
        <f t="shared" si="3"/>
        <v>105.04759694949422</v>
      </c>
      <c r="S39" s="5">
        <f>SUM($Q$7:$Q39)/T39-1</f>
        <v>173478.75303030323</v>
      </c>
      <c r="T39" s="18">
        <v>33</v>
      </c>
      <c r="U39" s="27"/>
      <c r="V39" s="137"/>
      <c r="W39" s="105">
        <v>-3183234</v>
      </c>
      <c r="X39" s="167"/>
      <c r="Y39" s="156">
        <f t="shared" si="7"/>
        <v>-3183234</v>
      </c>
      <c r="Z39" s="217"/>
      <c r="AD39" s="1"/>
      <c r="AE39" s="1"/>
    </row>
    <row r="40" spans="2:31">
      <c r="B40" s="116">
        <v>45131</v>
      </c>
      <c r="C40" s="14"/>
      <c r="D40" s="87"/>
      <c r="E40" s="87">
        <v>30</v>
      </c>
      <c r="F40" s="23">
        <v>-3614491</v>
      </c>
      <c r="G40" s="26">
        <f>D40+E40+F40-E37-F37</f>
        <v>19443</v>
      </c>
      <c r="H40" s="132">
        <v>300</v>
      </c>
      <c r="I40" s="25">
        <v>-6500</v>
      </c>
      <c r="J40" s="25">
        <v>-200</v>
      </c>
      <c r="K40" s="170">
        <f t="shared" si="8"/>
        <v>-6400</v>
      </c>
      <c r="L40" s="171">
        <v>26</v>
      </c>
      <c r="M40" s="153"/>
      <c r="N40" s="149">
        <f t="shared" si="9"/>
        <v>13069</v>
      </c>
      <c r="O40" s="67">
        <f t="shared" si="2"/>
        <v>8246.3911764707736</v>
      </c>
      <c r="P40" s="7">
        <f t="shared" si="5"/>
        <v>280377.30000000633</v>
      </c>
      <c r="Q40" s="164">
        <f>Q39+N40-1</f>
        <v>170407.45000000019</v>
      </c>
      <c r="R40" s="29">
        <f t="shared" si="3"/>
        <v>104.99348514709723</v>
      </c>
      <c r="S40" s="5">
        <f>SUM($Q$7:$Q40)/T40</f>
        <v>173389.39117647079</v>
      </c>
      <c r="T40" s="18">
        <v>34</v>
      </c>
      <c r="U40" s="138">
        <f>B40</f>
        <v>45131</v>
      </c>
      <c r="V40" s="131">
        <v>1780.8</v>
      </c>
      <c r="W40" s="105">
        <v>-3176858</v>
      </c>
      <c r="X40" s="167">
        <f>AVERAGE(W40:W48)</f>
        <v>-3171082.777777778</v>
      </c>
      <c r="Y40" s="156">
        <f>Y39-K40-L40+2</f>
        <v>-3176858</v>
      </c>
      <c r="Z40" s="217">
        <f>AVERAGE(Y40:Y48)</f>
        <v>-3171082.6666666665</v>
      </c>
      <c r="AD40" s="1"/>
      <c r="AE40" s="1"/>
    </row>
    <row r="41" spans="2:31">
      <c r="B41" s="116">
        <v>45132</v>
      </c>
      <c r="C41" s="14" t="str">
        <f t="shared" si="0"/>
        <v/>
      </c>
      <c r="D41" s="87"/>
      <c r="E41" s="87">
        <v>45</v>
      </c>
      <c r="F41" s="23">
        <v>-3604257</v>
      </c>
      <c r="G41" s="26">
        <f>D41+E41+F41-E40-F40</f>
        <v>10249</v>
      </c>
      <c r="H41" s="132">
        <v>300</v>
      </c>
      <c r="I41" s="25">
        <v>-2500</v>
      </c>
      <c r="J41" s="25">
        <v>-200</v>
      </c>
      <c r="K41" s="170">
        <f t="shared" si="8"/>
        <v>-2400</v>
      </c>
      <c r="L41" s="171">
        <v>18</v>
      </c>
      <c r="M41" s="153"/>
      <c r="N41" s="149">
        <f t="shared" si="9"/>
        <v>7867</v>
      </c>
      <c r="O41" s="67">
        <f t="shared" si="2"/>
        <v>8385.9357142859008</v>
      </c>
      <c r="P41" s="7">
        <f t="shared" si="5"/>
        <v>293507.75000000652</v>
      </c>
      <c r="Q41" s="164">
        <f>Q40+N41-1</f>
        <v>178273.45000000019</v>
      </c>
      <c r="R41" s="29">
        <f t="shared" si="3"/>
        <v>105.07737882579697</v>
      </c>
      <c r="S41" s="5">
        <f>SUM($Q$7:$Q41)/T41-1</f>
        <v>173527.93571428591</v>
      </c>
      <c r="T41" s="18">
        <v>35</v>
      </c>
      <c r="U41" s="138">
        <f>B40+8</f>
        <v>45139</v>
      </c>
      <c r="V41" s="137"/>
      <c r="W41" s="105">
        <v>-3174475</v>
      </c>
      <c r="X41" s="167"/>
      <c r="Y41" s="156">
        <f>Y40-K41-L41+1</f>
        <v>-3174475</v>
      </c>
      <c r="Z41" s="217"/>
      <c r="AD41" s="1"/>
      <c r="AE41" s="1"/>
    </row>
    <row r="42" spans="2:31">
      <c r="B42" s="116">
        <v>45133</v>
      </c>
      <c r="C42" s="14" t="str">
        <f t="shared" si="0"/>
        <v/>
      </c>
      <c r="D42" s="87">
        <f>-10025+11036</f>
        <v>1011</v>
      </c>
      <c r="E42" s="87">
        <v>45</v>
      </c>
      <c r="F42" s="23">
        <v>-3594089</v>
      </c>
      <c r="G42" s="26">
        <f>D42+E42+F42-E41-F41</f>
        <v>11179</v>
      </c>
      <c r="H42" s="132">
        <v>200</v>
      </c>
      <c r="I42" s="25">
        <v>100</v>
      </c>
      <c r="J42" s="25">
        <v>-300</v>
      </c>
      <c r="K42" s="170">
        <f t="shared" si="8"/>
        <v>0</v>
      </c>
      <c r="L42" s="171">
        <v>23</v>
      </c>
      <c r="M42" s="153"/>
      <c r="N42" s="149">
        <f t="shared" si="9"/>
        <v>11202</v>
      </c>
      <c r="O42" s="67">
        <f t="shared" si="2"/>
        <v>8828.8666666668523</v>
      </c>
      <c r="P42" s="7">
        <f t="shared" si="5"/>
        <v>317839.20000000671</v>
      </c>
      <c r="Q42" s="164">
        <f>Q41+N42-1</f>
        <v>189474.45000000019</v>
      </c>
      <c r="R42" s="29">
        <f t="shared" si="3"/>
        <v>105.34558937809464</v>
      </c>
      <c r="S42" s="5">
        <f>SUM($Q$7:$Q42)/T42-1</f>
        <v>173970.86666666684</v>
      </c>
      <c r="T42" s="18">
        <v>36</v>
      </c>
      <c r="U42" s="138"/>
      <c r="V42" s="137"/>
      <c r="W42" s="105">
        <v>-3174497</v>
      </c>
      <c r="X42" s="167"/>
      <c r="Y42" s="156">
        <f t="shared" ref="Y42" si="12">Y41-K42-L42+1</f>
        <v>-3174497</v>
      </c>
      <c r="Z42" s="217"/>
      <c r="AD42" s="1"/>
      <c r="AE42" s="1"/>
    </row>
    <row r="43" spans="2:31">
      <c r="B43" s="116">
        <v>45134</v>
      </c>
      <c r="C43" s="14" t="str">
        <f t="shared" si="0"/>
        <v/>
      </c>
      <c r="D43" s="87">
        <f>-716+3165</f>
        <v>2449</v>
      </c>
      <c r="E43" s="87">
        <v>64</v>
      </c>
      <c r="F43" s="23">
        <v>-3596461</v>
      </c>
      <c r="G43" s="26">
        <f>D43+E43+F43-E42-F42</f>
        <v>96</v>
      </c>
      <c r="H43" s="132">
        <v>300</v>
      </c>
      <c r="I43" s="25">
        <v>-4300</v>
      </c>
      <c r="J43" s="25">
        <v>-300</v>
      </c>
      <c r="K43" s="170">
        <f t="shared" si="8"/>
        <v>-4300</v>
      </c>
      <c r="L43" s="171">
        <v>-29</v>
      </c>
      <c r="M43" s="153"/>
      <c r="N43" s="149">
        <f t="shared" si="9"/>
        <v>-4233</v>
      </c>
      <c r="O43" s="67">
        <f t="shared" si="2"/>
        <v>9133.531081081268</v>
      </c>
      <c r="P43" s="7">
        <f t="shared" si="5"/>
        <v>337940.65000000689</v>
      </c>
      <c r="Q43" s="164">
        <f>Q42+N43+3</f>
        <v>185244.45000000019</v>
      </c>
      <c r="R43" s="29">
        <f t="shared" si="3"/>
        <v>105.53007459055563</v>
      </c>
      <c r="S43" s="5">
        <f>SUM($Q$7:$Q43)/T43-1</f>
        <v>174275.53108108128</v>
      </c>
      <c r="T43" s="18">
        <v>37</v>
      </c>
      <c r="U43" s="138"/>
      <c r="V43" s="137"/>
      <c r="W43" s="105">
        <v>-3170171</v>
      </c>
      <c r="X43" s="167"/>
      <c r="Y43" s="156">
        <f>Y42-K43-L43-2</f>
        <v>-3170170</v>
      </c>
      <c r="Z43" s="217"/>
      <c r="AD43" s="1"/>
      <c r="AE43" s="1"/>
    </row>
    <row r="44" spans="2:31">
      <c r="B44" s="116">
        <v>45135</v>
      </c>
      <c r="C44" s="14" t="str">
        <f t="shared" si="0"/>
        <v/>
      </c>
      <c r="D44" s="87"/>
      <c r="E44" s="87">
        <v>244</v>
      </c>
      <c r="F44" s="23">
        <v>-3585068</v>
      </c>
      <c r="G44" s="26">
        <f>D44+E44+F44-E43-F43</f>
        <v>11573</v>
      </c>
      <c r="H44" s="132">
        <v>300</v>
      </c>
      <c r="I44" s="25">
        <v>-11700</v>
      </c>
      <c r="J44" s="25">
        <v>-300</v>
      </c>
      <c r="K44" s="170">
        <f t="shared" si="8"/>
        <v>-11700</v>
      </c>
      <c r="L44" s="171">
        <v>-4</v>
      </c>
      <c r="M44" s="153"/>
      <c r="N44" s="149">
        <f t="shared" si="9"/>
        <v>-131</v>
      </c>
      <c r="O44" s="67">
        <f t="shared" si="2"/>
        <v>9418.6342105265012</v>
      </c>
      <c r="P44" s="7">
        <f t="shared" si="5"/>
        <v>357908.10000000708</v>
      </c>
      <c r="Q44" s="164">
        <f>Q43+N44-3</f>
        <v>185110.45000000019</v>
      </c>
      <c r="R44" s="29">
        <f t="shared" si="3"/>
        <v>105.70392581612693</v>
      </c>
      <c r="S44" s="5">
        <f>SUM($Q$7:$Q44)/T44+1</f>
        <v>174562.63421052651</v>
      </c>
      <c r="T44" s="18">
        <v>38</v>
      </c>
      <c r="U44" s="138"/>
      <c r="V44" s="137"/>
      <c r="W44" s="105">
        <v>-3158465</v>
      </c>
      <c r="X44" s="167"/>
      <c r="Y44" s="156">
        <f>Y43-K44-L44+1</f>
        <v>-3158465</v>
      </c>
      <c r="Z44" s="217"/>
      <c r="AD44" s="1"/>
      <c r="AE44" s="1"/>
    </row>
    <row r="45" spans="2:31">
      <c r="B45" s="116">
        <v>45136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9689.1166666668523</v>
      </c>
      <c r="P45" s="7">
        <f t="shared" si="5"/>
        <v>377875.55000000726</v>
      </c>
      <c r="Q45" s="164">
        <f t="shared" ref="Q45:Q46" si="13">Q44+N45</f>
        <v>185110.45000000019</v>
      </c>
      <c r="R45" s="29">
        <f t="shared" si="3"/>
        <v>105.86771262885308</v>
      </c>
      <c r="S45" s="5">
        <f>SUM($Q$7:$Q45)/T45+1</f>
        <v>174833.11666666684</v>
      </c>
      <c r="T45" s="18">
        <v>39</v>
      </c>
      <c r="U45" s="138"/>
      <c r="V45" s="137"/>
      <c r="W45" s="105">
        <v>-3158465</v>
      </c>
      <c r="X45" s="167"/>
      <c r="Y45" s="156">
        <f>Y44-K45-L45</f>
        <v>-3158465</v>
      </c>
      <c r="Z45" s="217"/>
      <c r="AD45" s="1"/>
      <c r="AE45" s="1"/>
    </row>
    <row r="46" spans="2:31">
      <c r="B46" s="116">
        <v>45137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9946.0750000001863</v>
      </c>
      <c r="P46" s="7">
        <f t="shared" si="5"/>
        <v>397843.00000000745</v>
      </c>
      <c r="Q46" s="164">
        <f t="shared" si="13"/>
        <v>185110.45000000019</v>
      </c>
      <c r="R46" s="29">
        <f t="shared" si="3"/>
        <v>106.02270456513456</v>
      </c>
      <c r="S46" s="5">
        <f>SUM($Q$7:$Q46)/T46</f>
        <v>175089.07500000019</v>
      </c>
      <c r="T46" s="18">
        <v>40</v>
      </c>
      <c r="U46" s="138"/>
      <c r="V46" s="137"/>
      <c r="W46" s="105">
        <v>-3158465</v>
      </c>
      <c r="X46" s="167"/>
      <c r="Y46" s="156">
        <f>Y45-K46-L46</f>
        <v>-3158465</v>
      </c>
      <c r="Z46" s="217"/>
      <c r="AD46" s="1"/>
      <c r="AE46" s="1"/>
    </row>
    <row r="47" spans="2:31">
      <c r="B47" s="116">
        <v>45138</v>
      </c>
      <c r="C47" s="14"/>
      <c r="D47" s="87"/>
      <c r="E47" s="87">
        <v>170</v>
      </c>
      <c r="F47" s="23">
        <v>-3527073</v>
      </c>
      <c r="G47" s="26">
        <f>D47+E47+F47-E44-F44</f>
        <v>57921</v>
      </c>
      <c r="H47" s="132">
        <v>300</v>
      </c>
      <c r="I47" s="25">
        <v>9900</v>
      </c>
      <c r="J47" s="25">
        <v>-100</v>
      </c>
      <c r="K47" s="170">
        <f t="shared" si="8"/>
        <v>10100</v>
      </c>
      <c r="L47" s="171">
        <v>-17</v>
      </c>
      <c r="M47" s="153"/>
      <c r="N47" s="149">
        <f t="shared" si="9"/>
        <v>68004</v>
      </c>
      <c r="O47" s="67">
        <f t="shared" si="2"/>
        <v>11849.157317073357</v>
      </c>
      <c r="P47" s="7">
        <f t="shared" si="5"/>
        <v>485815.45000000764</v>
      </c>
      <c r="Q47" s="164">
        <f>Q46+N47+1</f>
        <v>253115.45000000019</v>
      </c>
      <c r="R47" s="29">
        <f t="shared" si="3"/>
        <v>107.17508905437913</v>
      </c>
      <c r="S47" s="5">
        <f>SUM($Q$7:$Q47)/T47</f>
        <v>176992.15731707335</v>
      </c>
      <c r="T47" s="18">
        <v>41</v>
      </c>
      <c r="U47" s="138"/>
      <c r="V47" s="137"/>
      <c r="W47" s="105">
        <v>-3168548</v>
      </c>
      <c r="X47" s="167"/>
      <c r="Y47" s="156">
        <f>Y46-K47-L47</f>
        <v>-3168548</v>
      </c>
      <c r="Z47" s="217">
        <f>AVERAGE(Y47:Y48)</f>
        <v>-3184174.5</v>
      </c>
      <c r="AD47" s="1"/>
      <c r="AE47" s="1"/>
    </row>
    <row r="48" spans="2:31">
      <c r="B48" s="116">
        <v>45139</v>
      </c>
      <c r="C48" s="14" t="str">
        <f t="shared" si="0"/>
        <v/>
      </c>
      <c r="D48" s="87"/>
      <c r="E48" s="87">
        <v>37</v>
      </c>
      <c r="F48" s="23">
        <v>-3615944</v>
      </c>
      <c r="G48" s="26">
        <f>D48+E48+F48-E47-F47</f>
        <v>-89004</v>
      </c>
      <c r="H48" s="132">
        <v>15300</v>
      </c>
      <c r="I48" s="25">
        <v>16000</v>
      </c>
      <c r="J48" s="25">
        <v>-100</v>
      </c>
      <c r="K48" s="170">
        <f t="shared" si="8"/>
        <v>31200</v>
      </c>
      <c r="L48" s="171">
        <v>54</v>
      </c>
      <c r="M48" s="153"/>
      <c r="N48" s="149">
        <f t="shared" si="9"/>
        <v>-57750</v>
      </c>
      <c r="O48" s="67">
        <f t="shared" si="2"/>
        <v>12286.616666666852</v>
      </c>
      <c r="P48" s="7">
        <f t="shared" si="5"/>
        <v>516037.90000000782</v>
      </c>
      <c r="Q48" s="164">
        <f>Q47+N48</f>
        <v>195365.45000000019</v>
      </c>
      <c r="R48" s="29">
        <f t="shared" si="3"/>
        <v>107.43938081945153</v>
      </c>
      <c r="S48" s="5">
        <f>SUM($Q$7:$Q48)/T48-1</f>
        <v>177428.61666666684</v>
      </c>
      <c r="T48" s="18">
        <v>42</v>
      </c>
      <c r="U48" s="138"/>
      <c r="V48" s="137"/>
      <c r="W48" s="105">
        <v>-3199801</v>
      </c>
      <c r="X48" s="167"/>
      <c r="Y48" s="156">
        <f>Y47-K48-L48+1</f>
        <v>-3199801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2023'!Q48</f>
        <v>218353.45000000019</v>
      </c>
    </row>
    <row r="53" spans="4:7">
      <c r="D53" s="138" t="s">
        <v>4</v>
      </c>
      <c r="E53" s="139"/>
      <c r="F53" s="143"/>
      <c r="G53" s="91">
        <f>'MAY 2023'!E48</f>
        <v>29</v>
      </c>
    </row>
    <row r="54" spans="4:7">
      <c r="D54" s="138" t="s">
        <v>60</v>
      </c>
      <c r="E54" s="144"/>
      <c r="F54" s="143"/>
      <c r="G54" s="91">
        <f>'MAY 2023'!F48</f>
        <v>-4071294</v>
      </c>
    </row>
    <row r="55" spans="4:7" ht="12.75" thickBot="1">
      <c r="D55" s="140" t="s">
        <v>46</v>
      </c>
      <c r="E55" s="145"/>
      <c r="F55" s="146"/>
      <c r="G55" s="158">
        <f>'MAY 2023'!W48</f>
        <v>-3187798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IU65525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I41" sqref="I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127892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43495</v>
      </c>
      <c r="C7" s="14" t="str">
        <f t="shared" ref="C7:C48" si="0">IF(OR(WEEKDAY(B7)=1,WEEKDAY(B7)=7),"F","")</f>
        <v/>
      </c>
      <c r="D7" s="87">
        <f>-6576+6574</f>
        <v>-2</v>
      </c>
      <c r="E7" s="128">
        <v>106</v>
      </c>
      <c r="F7" s="162">
        <v>-590631</v>
      </c>
      <c r="G7" s="26">
        <f>D7+E7+F7-G53-G54</f>
        <v>57665</v>
      </c>
      <c r="H7" s="132">
        <v>600</v>
      </c>
      <c r="I7" s="63">
        <v>-10450</v>
      </c>
      <c r="J7" s="63">
        <v>-600</v>
      </c>
      <c r="K7" s="168">
        <f>+H7+I7+J7</f>
        <v>-10450</v>
      </c>
      <c r="L7" s="169">
        <v>-20</v>
      </c>
      <c r="M7" s="153"/>
      <c r="N7" s="149">
        <f>L7+K7+G7+M7</f>
        <v>47195</v>
      </c>
      <c r="O7" s="67">
        <f t="shared" ref="O7:O48" si="1">P7/T7</f>
        <v>1252423.8499999999</v>
      </c>
      <c r="P7" s="163">
        <f>(+$Q7-$Q$3)</f>
        <v>1252423.8499999999</v>
      </c>
      <c r="Q7" s="164">
        <f>G52+N7</f>
        <v>1380315.8499999999</v>
      </c>
      <c r="R7" s="29">
        <f t="shared" ref="R7:R48" si="2">$S7/$Q$3*100</f>
        <v>1079.2824023394737</v>
      </c>
      <c r="S7" s="165">
        <f>$Q7</f>
        <v>1380315.8499999999</v>
      </c>
      <c r="T7" s="166">
        <v>1</v>
      </c>
      <c r="U7" s="138">
        <f>B7</f>
        <v>43495</v>
      </c>
      <c r="V7" s="131" t="s">
        <v>249</v>
      </c>
      <c r="W7" s="105">
        <v>-1240432</v>
      </c>
      <c r="X7" s="167">
        <f>AVERAGE(W7:W15)</f>
        <v>-1277146.111111111</v>
      </c>
      <c r="Y7" s="156">
        <f>-L7-K7+'Jan 2019'!Y48-1</f>
        <v>-1240432</v>
      </c>
      <c r="Z7" s="217">
        <f>AVERAGE(Y7:Y13)</f>
        <v>-1274845.2857142857</v>
      </c>
      <c r="AA7" s="92"/>
    </row>
    <row r="8" spans="2:255">
      <c r="B8" s="116">
        <v>43496</v>
      </c>
      <c r="C8" s="14"/>
      <c r="D8" s="128">
        <f>-1490+952</f>
        <v>-538</v>
      </c>
      <c r="E8" s="128">
        <v>112</v>
      </c>
      <c r="F8" s="162">
        <v>-644921</v>
      </c>
      <c r="G8" s="26">
        <f>D8+E8+F8-E7-F7</f>
        <v>-54822</v>
      </c>
      <c r="H8" s="132">
        <v>600</v>
      </c>
      <c r="I8" s="63">
        <v>28400</v>
      </c>
      <c r="J8" s="63">
        <v>-600</v>
      </c>
      <c r="K8" s="170">
        <f t="shared" ref="K8:K48" si="3">+H8+I8+J8</f>
        <v>28400</v>
      </c>
      <c r="L8" s="171">
        <v>36</v>
      </c>
      <c r="M8" s="153"/>
      <c r="N8" s="149">
        <f>L8+K8+G8+M8</f>
        <v>-26386</v>
      </c>
      <c r="O8" s="67">
        <f t="shared" si="1"/>
        <v>613019.42499999993</v>
      </c>
      <c r="P8" s="163">
        <f>(IF($Q8&lt;0,-$Q$3+P6,($Q8-$Q$3)+P6))</f>
        <v>1226038.8499999999</v>
      </c>
      <c r="Q8" s="164">
        <f>Q7+N8+1</f>
        <v>1353930.8499999999</v>
      </c>
      <c r="R8" s="29">
        <f t="shared" si="2"/>
        <v>1068.9678400525443</v>
      </c>
      <c r="S8" s="165">
        <f>SUM($Q$7:$Q8)/T8+1</f>
        <v>1367124.3499999999</v>
      </c>
      <c r="T8" s="166">
        <v>2</v>
      </c>
      <c r="U8" s="138">
        <f>B7+8</f>
        <v>43503</v>
      </c>
      <c r="V8" s="131">
        <v>1355.3</v>
      </c>
      <c r="W8" s="105">
        <v>-1268867</v>
      </c>
      <c r="X8" s="167"/>
      <c r="Y8" s="156">
        <f>Y7-K8-L8+1</f>
        <v>-1268867</v>
      </c>
      <c r="Z8" s="217"/>
      <c r="AA8" s="92"/>
    </row>
    <row r="9" spans="2:255">
      <c r="B9" s="116">
        <v>43497</v>
      </c>
      <c r="C9" s="14" t="str">
        <f t="shared" si="0"/>
        <v/>
      </c>
      <c r="D9" s="87"/>
      <c r="E9" s="87">
        <v>102</v>
      </c>
      <c r="F9" s="23">
        <v>-673020</v>
      </c>
      <c r="G9" s="26">
        <f>D9+E9+F9-E8-F8</f>
        <v>-28109</v>
      </c>
      <c r="H9" s="132">
        <v>15700</v>
      </c>
      <c r="I9" s="63">
        <v>1000</v>
      </c>
      <c r="J9" s="63">
        <v>-600</v>
      </c>
      <c r="K9" s="170">
        <f t="shared" si="3"/>
        <v>16100</v>
      </c>
      <c r="L9" s="171">
        <v>-10</v>
      </c>
      <c r="M9" s="153"/>
      <c r="N9" s="149">
        <f>L9+K9+G9+M9</f>
        <v>-12019</v>
      </c>
      <c r="O9" s="67">
        <f t="shared" si="1"/>
        <v>822147.23333333328</v>
      </c>
      <c r="P9" s="7">
        <f>(IF($Q9&lt;0,-$Q$3+P7,($Q9-$Q$3)+P7))</f>
        <v>2466441.6999999997</v>
      </c>
      <c r="Q9" s="164">
        <f>Q8+N9-2</f>
        <v>1341909.8499999999</v>
      </c>
      <c r="R9" s="29">
        <f t="shared" si="2"/>
        <v>1062.3954977637379</v>
      </c>
      <c r="S9" s="5">
        <f>SUM($Q$7:$Q9)/T9</f>
        <v>1358718.8499999999</v>
      </c>
      <c r="T9" s="17">
        <v>3</v>
      </c>
      <c r="U9" s="4"/>
      <c r="V9" s="131"/>
      <c r="W9" s="105">
        <v>-1284956</v>
      </c>
      <c r="X9" s="167"/>
      <c r="Y9" s="156">
        <f>Y8-K9-L9+1</f>
        <v>-1284956</v>
      </c>
      <c r="Z9" s="217"/>
      <c r="AA9" s="92"/>
    </row>
    <row r="10" spans="2:255">
      <c r="B10" s="116">
        <v>43498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920114.88749999995</v>
      </c>
      <c r="P10" s="7">
        <f t="shared" ref="P10:P48" si="4">(IF($Q10&lt;0,-$Q$3+P9,($Q10-$Q$3)+P9))</f>
        <v>3680459.55</v>
      </c>
      <c r="Q10" s="164">
        <f t="shared" ref="Q10:Q46" si="5">Q9+N10</f>
        <v>1341909.8499999999</v>
      </c>
      <c r="R10" s="29">
        <f t="shared" si="2"/>
        <v>1059.1089356644668</v>
      </c>
      <c r="S10" s="5">
        <f>SUM($Q$7:$Q10)/T10-1</f>
        <v>1354515.5999999999</v>
      </c>
      <c r="T10" s="17">
        <v>4</v>
      </c>
      <c r="U10" s="27"/>
      <c r="V10" s="133"/>
      <c r="W10" s="105">
        <v>-1284956</v>
      </c>
      <c r="X10" s="167"/>
      <c r="Y10" s="156">
        <f>Y9-K10-L10</f>
        <v>-1284956</v>
      </c>
      <c r="Z10" s="217"/>
      <c r="AA10" s="92"/>
    </row>
    <row r="11" spans="2:255">
      <c r="B11" s="116">
        <v>43499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7" si="6">L11+K11+G11+M11</f>
        <v>0</v>
      </c>
      <c r="O11" s="67">
        <f t="shared" si="1"/>
        <v>978895.47999999986</v>
      </c>
      <c r="P11" s="7">
        <f t="shared" si="4"/>
        <v>4894477.3999999994</v>
      </c>
      <c r="Q11" s="164">
        <f t="shared" si="5"/>
        <v>1341909.8499999999</v>
      </c>
      <c r="R11" s="29">
        <f t="shared" si="2"/>
        <v>1057.138249460482</v>
      </c>
      <c r="S11" s="5">
        <f>SUM($Q$7:$Q11)/T11</f>
        <v>1351995.2499999998</v>
      </c>
      <c r="T11" s="17">
        <v>5</v>
      </c>
      <c r="U11" s="27"/>
      <c r="V11" s="134"/>
      <c r="W11" s="105">
        <v>-1284956</v>
      </c>
      <c r="X11" s="167"/>
      <c r="Y11" s="156">
        <f t="shared" ref="Y11:Y48" si="7">Y10-K11-L11</f>
        <v>-1284956</v>
      </c>
      <c r="Z11" s="217"/>
      <c r="AA11" s="92"/>
    </row>
    <row r="12" spans="2:255">
      <c r="B12" s="116">
        <v>43500</v>
      </c>
      <c r="C12" s="14" t="str">
        <f t="shared" si="0"/>
        <v/>
      </c>
      <c r="D12" s="87"/>
      <c r="E12" s="161">
        <v>117</v>
      </c>
      <c r="F12" s="23">
        <v>-671108</v>
      </c>
      <c r="G12" s="26">
        <f>D12+E12+F12-E9-F9</f>
        <v>1927</v>
      </c>
      <c r="H12" s="132">
        <v>700</v>
      </c>
      <c r="I12" s="63">
        <v>3000</v>
      </c>
      <c r="J12" s="63">
        <v>200</v>
      </c>
      <c r="K12" s="170">
        <f t="shared" si="3"/>
        <v>3900</v>
      </c>
      <c r="L12" s="171">
        <v>-8</v>
      </c>
      <c r="M12" s="153"/>
      <c r="N12" s="149">
        <f t="shared" si="6"/>
        <v>5819</v>
      </c>
      <c r="O12" s="67">
        <f t="shared" si="1"/>
        <v>1019052.2083333331</v>
      </c>
      <c r="P12" s="7">
        <f t="shared" si="4"/>
        <v>6114313.2499999991</v>
      </c>
      <c r="Q12" s="164">
        <f>Q11+N12-1</f>
        <v>1347727.8499999999</v>
      </c>
      <c r="R12" s="29">
        <f t="shared" si="2"/>
        <v>1056.5821291923392</v>
      </c>
      <c r="S12" s="5">
        <f>SUM($Q$7:$Q12)/T12</f>
        <v>1351284.0166666664</v>
      </c>
      <c r="T12" s="17">
        <v>6</v>
      </c>
      <c r="U12" s="138">
        <f>B12</f>
        <v>43500</v>
      </c>
      <c r="V12" s="131" t="s">
        <v>252</v>
      </c>
      <c r="W12" s="105">
        <v>-1288847</v>
      </c>
      <c r="X12" s="167">
        <f>AVERAGE(W12:W20)</f>
        <v>-1288088.111111111</v>
      </c>
      <c r="Y12" s="156">
        <f>Y11-K12-L12+1</f>
        <v>-1288847</v>
      </c>
      <c r="Z12" s="217">
        <f>AVERAGE(Y12:Y20)</f>
        <v>-1288088.111111111</v>
      </c>
      <c r="AA12" s="92"/>
    </row>
    <row r="13" spans="2:255">
      <c r="B13" s="116">
        <v>43501</v>
      </c>
      <c r="C13" s="14"/>
      <c r="D13" s="87"/>
      <c r="E13" s="87">
        <v>117</v>
      </c>
      <c r="F13" s="23">
        <v>-652698</v>
      </c>
      <c r="G13" s="26">
        <f>D13+E13+F13-E12-F12</f>
        <v>18410</v>
      </c>
      <c r="H13" s="132">
        <v>700</v>
      </c>
      <c r="I13" s="63">
        <v>-18800</v>
      </c>
      <c r="J13" s="63">
        <v>200</v>
      </c>
      <c r="K13" s="170">
        <f t="shared" si="3"/>
        <v>-17900</v>
      </c>
      <c r="L13" s="171">
        <v>-44</v>
      </c>
      <c r="M13" s="153"/>
      <c r="N13" s="149">
        <f t="shared" si="6"/>
        <v>466</v>
      </c>
      <c r="O13" s="67">
        <f t="shared" si="1"/>
        <v>1047802.2999999998</v>
      </c>
      <c r="P13" s="7">
        <f>(IF($Q13&lt;0,-$Q$3+P12,($Q13-$Q$3)+P12))</f>
        <v>7334616.0999999987</v>
      </c>
      <c r="Q13" s="164">
        <f>Q12+N13+1</f>
        <v>1348194.8499999999</v>
      </c>
      <c r="R13" s="29">
        <f t="shared" si="2"/>
        <v>1056.2370649789332</v>
      </c>
      <c r="S13" s="5">
        <f>SUM($Q$7:$Q13)/T13</f>
        <v>1350842.7071428571</v>
      </c>
      <c r="T13" s="17">
        <v>7</v>
      </c>
      <c r="U13" s="138">
        <f>B14+6</f>
        <v>43508</v>
      </c>
      <c r="V13" s="155">
        <v>1354.4</v>
      </c>
      <c r="W13" s="105">
        <v>-1270903</v>
      </c>
      <c r="X13" s="167"/>
      <c r="Y13" s="156">
        <f>Y12-K13-L13</f>
        <v>-1270903</v>
      </c>
      <c r="Z13" s="217"/>
      <c r="AA13" s="92"/>
      <c r="AB13" s="92"/>
    </row>
    <row r="14" spans="2:255">
      <c r="B14" s="116">
        <v>43502</v>
      </c>
      <c r="C14" s="14"/>
      <c r="D14" s="87">
        <f>-6574+5423</f>
        <v>-1151</v>
      </c>
      <c r="E14" s="87">
        <v>26</v>
      </c>
      <c r="F14" s="23">
        <v>-655427</v>
      </c>
      <c r="G14" s="26">
        <f>D14+E14+F14-E13-F13</f>
        <v>-3971</v>
      </c>
      <c r="H14" s="132">
        <v>700</v>
      </c>
      <c r="I14" s="63">
        <v>9300</v>
      </c>
      <c r="J14" s="63">
        <v>200</v>
      </c>
      <c r="K14" s="170">
        <f t="shared" si="3"/>
        <v>10200</v>
      </c>
      <c r="L14" s="171">
        <v>17</v>
      </c>
      <c r="M14" s="154"/>
      <c r="N14" s="149">
        <f>L14+K14+G14+M14</f>
        <v>6246</v>
      </c>
      <c r="O14" s="67">
        <f t="shared" si="1"/>
        <v>1070145.6187499999</v>
      </c>
      <c r="P14" s="7">
        <f t="shared" si="4"/>
        <v>8561164.9499999993</v>
      </c>
      <c r="Q14" s="164">
        <f>Q13+N14</f>
        <v>1354440.8499999999</v>
      </c>
      <c r="R14" s="29">
        <f t="shared" si="2"/>
        <v>1056.5895247552621</v>
      </c>
      <c r="S14" s="5">
        <f>SUM($Q$7:$Q14)/T14+1</f>
        <v>1351293.4749999999</v>
      </c>
      <c r="T14" s="17">
        <v>8</v>
      </c>
      <c r="U14" s="4"/>
      <c r="V14" s="4"/>
      <c r="W14" s="105">
        <v>-1281119</v>
      </c>
      <c r="X14" s="167"/>
      <c r="Y14" s="156">
        <f>Y13-K14-L14+1</f>
        <v>-1281119</v>
      </c>
      <c r="Z14" s="217"/>
      <c r="AA14" s="92"/>
    </row>
    <row r="15" spans="2:255">
      <c r="B15" s="116">
        <v>43503</v>
      </c>
      <c r="C15" s="14" t="str">
        <f t="shared" si="0"/>
        <v/>
      </c>
      <c r="D15" s="87"/>
      <c r="E15" s="87">
        <v>28</v>
      </c>
      <c r="F15" s="23">
        <v>-657394</v>
      </c>
      <c r="G15" s="26">
        <f>D15+E15+F15-E14-F14</f>
        <v>-1965</v>
      </c>
      <c r="H15" s="132">
        <v>700</v>
      </c>
      <c r="I15" s="63">
        <v>7250</v>
      </c>
      <c r="J15" s="63">
        <v>200</v>
      </c>
      <c r="K15" s="170">
        <f t="shared" si="3"/>
        <v>8150</v>
      </c>
      <c r="L15" s="172">
        <v>9</v>
      </c>
      <c r="M15" s="153"/>
      <c r="N15" s="149">
        <f>L15+K15+G15+M15</f>
        <v>6194</v>
      </c>
      <c r="O15" s="67">
        <f t="shared" si="1"/>
        <v>1088212.0888888887</v>
      </c>
      <c r="P15" s="7">
        <f t="shared" si="4"/>
        <v>9793908.7999999989</v>
      </c>
      <c r="Q15" s="164">
        <f>Q14+N15+1</f>
        <v>1360635.8499999999</v>
      </c>
      <c r="R15" s="29">
        <f t="shared" si="2"/>
        <v>1057.4004846102787</v>
      </c>
      <c r="S15" s="5">
        <f>SUM($Q$7:$Q15)/T15</f>
        <v>1352330.6277777776</v>
      </c>
      <c r="T15" s="17">
        <v>9</v>
      </c>
      <c r="U15" s="4"/>
      <c r="V15" s="4"/>
      <c r="W15" s="105">
        <v>-1289279</v>
      </c>
      <c r="X15" s="167"/>
      <c r="Y15" s="156">
        <f>Y14-K15-L15-1</f>
        <v>-1289279</v>
      </c>
      <c r="Z15" s="217"/>
      <c r="AA15" s="92"/>
      <c r="AB15" s="92"/>
    </row>
    <row r="16" spans="2:255" s="69" customFormat="1">
      <c r="B16" s="116">
        <v>43504</v>
      </c>
      <c r="C16" s="14" t="str">
        <f t="shared" si="0"/>
        <v/>
      </c>
      <c r="D16" s="129"/>
      <c r="E16" s="87">
        <v>50</v>
      </c>
      <c r="F16" s="23">
        <v>-658593</v>
      </c>
      <c r="G16" s="26">
        <f>D16+E16+F16-E15-F15</f>
        <v>-1177</v>
      </c>
      <c r="H16" s="132">
        <v>700</v>
      </c>
      <c r="I16" s="63">
        <v>5950</v>
      </c>
      <c r="J16" s="63">
        <v>100</v>
      </c>
      <c r="K16" s="170">
        <f t="shared" si="3"/>
        <v>6750</v>
      </c>
      <c r="L16" s="172">
        <v>29</v>
      </c>
      <c r="M16" s="153"/>
      <c r="N16" s="152">
        <f>L16+K16+G16+M16</f>
        <v>5602</v>
      </c>
      <c r="O16" s="67">
        <f t="shared" si="1"/>
        <v>1103225.4649999999</v>
      </c>
      <c r="P16" s="70">
        <f t="shared" si="4"/>
        <v>11032254.649999999</v>
      </c>
      <c r="Q16" s="164">
        <f>Q15+N16</f>
        <v>1366237.8499999999</v>
      </c>
      <c r="R16" s="71">
        <f t="shared" si="2"/>
        <v>1058.4879038563788</v>
      </c>
      <c r="S16" s="72">
        <f>SUM($Q$7:$Q16)/T16</f>
        <v>1353721.3499999999</v>
      </c>
      <c r="T16" s="73">
        <v>10</v>
      </c>
      <c r="U16" s="218"/>
      <c r="V16" s="133"/>
      <c r="W16" s="105">
        <v>-1296059</v>
      </c>
      <c r="X16" s="167"/>
      <c r="Y16" s="156">
        <f>Y15-K16-L16-1</f>
        <v>-1296059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43505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1115509.1363636362</v>
      </c>
      <c r="P17" s="7">
        <f t="shared" si="4"/>
        <v>12270600.499999998</v>
      </c>
      <c r="Q17" s="164">
        <f t="shared" si="5"/>
        <v>1366237.8499999999</v>
      </c>
      <c r="R17" s="29">
        <f t="shared" si="2"/>
        <v>1059.3776105122788</v>
      </c>
      <c r="S17" s="5">
        <f>SUM($Q$7:$Q17)/T17</f>
        <v>1354859.2136363634</v>
      </c>
      <c r="T17" s="18">
        <v>11</v>
      </c>
      <c r="U17" s="27"/>
      <c r="V17" s="136"/>
      <c r="W17" s="105">
        <v>-1296059</v>
      </c>
      <c r="X17" s="167"/>
      <c r="Y17" s="156">
        <f t="shared" si="7"/>
        <v>-1296059</v>
      </c>
      <c r="Z17" s="217"/>
      <c r="AA17" s="92"/>
      <c r="AC17" s="92"/>
    </row>
    <row r="18" spans="2:31">
      <c r="B18" s="116">
        <v>43506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1125745.5291666666</v>
      </c>
      <c r="P18" s="7">
        <f t="shared" si="4"/>
        <v>13508946.349999998</v>
      </c>
      <c r="Q18" s="164">
        <f t="shared" si="5"/>
        <v>1366237.8499999999</v>
      </c>
      <c r="R18" s="29">
        <f t="shared" si="2"/>
        <v>1060.1182508157922</v>
      </c>
      <c r="S18" s="5">
        <f>SUM($Q$7:$Q18)/T18-1</f>
        <v>1355806.4333333331</v>
      </c>
      <c r="T18" s="18">
        <v>12</v>
      </c>
      <c r="U18" s="27"/>
      <c r="V18" s="136"/>
      <c r="W18" s="105">
        <v>-1296059</v>
      </c>
      <c r="X18" s="167"/>
      <c r="Y18" s="156">
        <f t="shared" si="7"/>
        <v>-1296059</v>
      </c>
      <c r="Z18" s="217"/>
      <c r="AA18" s="92"/>
    </row>
    <row r="19" spans="2:31">
      <c r="B19" s="116">
        <v>43507</v>
      </c>
      <c r="C19" s="14" t="str">
        <f t="shared" si="0"/>
        <v/>
      </c>
      <c r="D19" s="87"/>
      <c r="E19" s="87">
        <v>46</v>
      </c>
      <c r="F19" s="23">
        <v>-662583</v>
      </c>
      <c r="G19" s="26">
        <f>D19+E19+F19-E16-F16</f>
        <v>-3994</v>
      </c>
      <c r="H19" s="132">
        <v>500</v>
      </c>
      <c r="I19" s="25">
        <v>-7100</v>
      </c>
      <c r="J19" s="63">
        <v>100</v>
      </c>
      <c r="K19" s="170">
        <f t="shared" si="3"/>
        <v>-6500</v>
      </c>
      <c r="L19" s="171">
        <v>31</v>
      </c>
      <c r="M19" s="153"/>
      <c r="N19" s="149">
        <f t="shared" si="6"/>
        <v>-10463</v>
      </c>
      <c r="O19" s="67">
        <f t="shared" si="1"/>
        <v>1133602.3230769229</v>
      </c>
      <c r="P19" s="7">
        <f t="shared" si="4"/>
        <v>14736830.199999997</v>
      </c>
      <c r="Q19" s="164">
        <f>Q18+N19+1</f>
        <v>1355775.8499999999</v>
      </c>
      <c r="R19" s="29">
        <f t="shared" si="2"/>
        <v>1060.1171330858485</v>
      </c>
      <c r="S19" s="5">
        <f>SUM($Q$7:$Q19)/T19</f>
        <v>1355805.0038461536</v>
      </c>
      <c r="T19" s="18">
        <v>13</v>
      </c>
      <c r="U19" s="138">
        <f>B19</f>
        <v>43507</v>
      </c>
      <c r="V19" s="131" t="s">
        <v>253</v>
      </c>
      <c r="W19" s="105">
        <v>-1289590</v>
      </c>
      <c r="X19" s="167">
        <f>AVERAGE(W19:W27)</f>
        <v>-1260528.4444444445</v>
      </c>
      <c r="Y19" s="156">
        <f t="shared" si="7"/>
        <v>-1289590</v>
      </c>
      <c r="Z19" s="217">
        <f>AVERAGE(Y19:Y27)</f>
        <v>-1260528.4444444445</v>
      </c>
      <c r="AA19" s="92"/>
    </row>
    <row r="20" spans="2:31">
      <c r="B20" s="116">
        <v>43508</v>
      </c>
      <c r="C20" s="14"/>
      <c r="D20" s="87"/>
      <c r="E20" s="87">
        <v>61</v>
      </c>
      <c r="F20" s="23">
        <v>-660772</v>
      </c>
      <c r="G20" s="26">
        <f>D20+E20+F20-E19-F19</f>
        <v>1826</v>
      </c>
      <c r="H20" s="132">
        <v>500</v>
      </c>
      <c r="I20" s="25">
        <v>-5300</v>
      </c>
      <c r="J20" s="63">
        <v>100</v>
      </c>
      <c r="K20" s="170">
        <f t="shared" si="3"/>
        <v>-4700</v>
      </c>
      <c r="L20" s="171">
        <v>-12</v>
      </c>
      <c r="M20" s="153"/>
      <c r="N20" s="149">
        <f t="shared" si="6"/>
        <v>-2886</v>
      </c>
      <c r="O20" s="67">
        <f t="shared" si="1"/>
        <v>1140130.5035714284</v>
      </c>
      <c r="P20" s="7">
        <f t="shared" si="4"/>
        <v>15961827.049999997</v>
      </c>
      <c r="Q20" s="164">
        <f>Q19+N20-1</f>
        <v>1352888.8499999999</v>
      </c>
      <c r="R20" s="29">
        <f t="shared" si="2"/>
        <v>1059.9542638654937</v>
      </c>
      <c r="S20" s="5">
        <f>SUM($Q$7:$Q20)/T20</f>
        <v>1355596.7071428571</v>
      </c>
      <c r="T20" s="18">
        <v>14</v>
      </c>
      <c r="U20" s="138">
        <f>B19+8</f>
        <v>43515</v>
      </c>
      <c r="V20" s="131">
        <v>1375.1</v>
      </c>
      <c r="W20" s="105">
        <v>-1284878</v>
      </c>
      <c r="X20" s="167"/>
      <c r="Y20" s="156">
        <f>Y19-K20-L20</f>
        <v>-1284878</v>
      </c>
      <c r="Z20" s="217"/>
      <c r="AA20" s="92"/>
      <c r="AB20" s="92"/>
    </row>
    <row r="21" spans="2:31">
      <c r="B21" s="116">
        <v>43509</v>
      </c>
      <c r="C21" s="14" t="str">
        <f t="shared" si="0"/>
        <v/>
      </c>
      <c r="D21" s="87">
        <f>-5423+5910</f>
        <v>487</v>
      </c>
      <c r="E21" s="87">
        <v>20</v>
      </c>
      <c r="F21" s="23">
        <v>-646723</v>
      </c>
      <c r="G21" s="26">
        <f>D21+E21+F21-E20-F20</f>
        <v>14495</v>
      </c>
      <c r="H21" s="132">
        <v>-7300</v>
      </c>
      <c r="I21" s="25">
        <v>3000</v>
      </c>
      <c r="J21" s="63">
        <v>100</v>
      </c>
      <c r="K21" s="170">
        <f t="shared" si="3"/>
        <v>-4200</v>
      </c>
      <c r="L21" s="171">
        <v>40</v>
      </c>
      <c r="M21" s="153"/>
      <c r="N21" s="149">
        <f>L21+K21+G21+M21</f>
        <v>10335</v>
      </c>
      <c r="O21" s="67">
        <f t="shared" si="1"/>
        <v>1146477.26</v>
      </c>
      <c r="P21" s="7">
        <f t="shared" si="4"/>
        <v>17197158.899999999</v>
      </c>
      <c r="Q21" s="164">
        <f>Q20+N21</f>
        <v>1363223.8499999999</v>
      </c>
      <c r="R21" s="29">
        <f t="shared" si="2"/>
        <v>1060.3518463495241</v>
      </c>
      <c r="S21" s="5">
        <f>SUM($Q$7:$Q21)/T21</f>
        <v>1356105.1833333333</v>
      </c>
      <c r="T21" s="18">
        <v>15</v>
      </c>
      <c r="U21" s="4"/>
      <c r="V21" s="131"/>
      <c r="W21" s="105">
        <v>-1280718</v>
      </c>
      <c r="X21" s="167"/>
      <c r="Y21" s="156">
        <f>Y20-K21-L21</f>
        <v>-1280718</v>
      </c>
      <c r="Z21" s="217"/>
      <c r="AA21" s="92"/>
    </row>
    <row r="22" spans="2:31">
      <c r="B22" s="116">
        <v>43510</v>
      </c>
      <c r="C22" s="14" t="str">
        <f t="shared" si="0"/>
        <v/>
      </c>
      <c r="D22" s="87"/>
      <c r="E22" s="87">
        <v>25</v>
      </c>
      <c r="F22" s="23">
        <v>-629464</v>
      </c>
      <c r="G22" s="26">
        <f>D22+E22+F22-E21-F21</f>
        <v>17264</v>
      </c>
      <c r="H22" s="132">
        <v>600</v>
      </c>
      <c r="I22" s="25">
        <v>-13500</v>
      </c>
      <c r="J22" s="63">
        <v>100</v>
      </c>
      <c r="K22" s="170">
        <f t="shared" si="3"/>
        <v>-12800</v>
      </c>
      <c r="L22" s="171">
        <v>41</v>
      </c>
      <c r="M22" s="153"/>
      <c r="N22" s="149">
        <f>L22+K22+G22+M22</f>
        <v>4505</v>
      </c>
      <c r="O22" s="67">
        <f t="shared" si="1"/>
        <v>1152312.234375</v>
      </c>
      <c r="P22" s="7">
        <f t="shared" si="4"/>
        <v>18436995.75</v>
      </c>
      <c r="Q22" s="164">
        <f>Q21+N22</f>
        <v>1367728.8499999999</v>
      </c>
      <c r="R22" s="29">
        <f t="shared" si="2"/>
        <v>1060.9191055734527</v>
      </c>
      <c r="S22" s="5">
        <f>SUM($Q$7:$Q22)/T22-1</f>
        <v>1356830.6625000001</v>
      </c>
      <c r="T22" s="18">
        <v>16</v>
      </c>
      <c r="U22" s="4"/>
      <c r="V22" s="131"/>
      <c r="W22" s="105">
        <v>-1267959</v>
      </c>
      <c r="X22" s="167"/>
      <c r="Y22" s="156">
        <f t="shared" si="7"/>
        <v>-1267959</v>
      </c>
      <c r="Z22" s="217"/>
      <c r="AA22" s="92"/>
    </row>
    <row r="23" spans="2:31">
      <c r="B23" s="116">
        <v>43511</v>
      </c>
      <c r="C23" s="14" t="str">
        <f t="shared" si="0"/>
        <v/>
      </c>
      <c r="D23" s="87"/>
      <c r="E23" s="87">
        <v>66</v>
      </c>
      <c r="F23" s="23">
        <v>-634930</v>
      </c>
      <c r="G23" s="26">
        <f t="shared" ref="G23" si="8">D23+E23+F23-E22-F22</f>
        <v>-5425</v>
      </c>
      <c r="H23" s="132">
        <v>-3900</v>
      </c>
      <c r="I23" s="25">
        <v>-16300</v>
      </c>
      <c r="J23" s="63">
        <v>100</v>
      </c>
      <c r="K23" s="170">
        <f t="shared" si="3"/>
        <v>-20100</v>
      </c>
      <c r="L23" s="171">
        <v>-25</v>
      </c>
      <c r="M23" s="153"/>
      <c r="N23" s="149">
        <f>L23+K23+G23+M23</f>
        <v>-25550</v>
      </c>
      <c r="O23" s="67">
        <f t="shared" si="1"/>
        <v>1155957.7411764706</v>
      </c>
      <c r="P23" s="7">
        <f t="shared" si="4"/>
        <v>19651281.600000001</v>
      </c>
      <c r="Q23" s="164">
        <f>Q22+N23-1</f>
        <v>1342177.8499999999</v>
      </c>
      <c r="R23" s="29">
        <f t="shared" si="2"/>
        <v>1060.2458899144685</v>
      </c>
      <c r="S23" s="5">
        <f>SUM($Q$7:$Q23)/T23</f>
        <v>1355969.6735294119</v>
      </c>
      <c r="T23" s="18">
        <v>17</v>
      </c>
      <c r="U23" s="27"/>
      <c r="V23" s="135"/>
      <c r="W23" s="105">
        <v>-1247834</v>
      </c>
      <c r="X23" s="167"/>
      <c r="Y23" s="156">
        <f t="shared" si="7"/>
        <v>-1247834</v>
      </c>
      <c r="Z23" s="217"/>
      <c r="AA23" s="92"/>
    </row>
    <row r="24" spans="2:31">
      <c r="B24" s="116">
        <v>43512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1159198.1916666669</v>
      </c>
      <c r="P24" s="7">
        <f t="shared" si="4"/>
        <v>20865567.450000003</v>
      </c>
      <c r="Q24" s="164">
        <f t="shared" si="5"/>
        <v>1342177.8499999999</v>
      </c>
      <c r="R24" s="29">
        <f t="shared" si="2"/>
        <v>1059.6467809644946</v>
      </c>
      <c r="S24" s="5">
        <f>SUM($Q$7:$Q24)/T24</f>
        <v>1355203.4611111113</v>
      </c>
      <c r="T24" s="18">
        <v>18</v>
      </c>
      <c r="U24" s="4"/>
      <c r="V24" s="135"/>
      <c r="W24" s="105">
        <v>-1247834</v>
      </c>
      <c r="X24" s="167"/>
      <c r="Y24" s="156">
        <f t="shared" si="7"/>
        <v>-1247834</v>
      </c>
      <c r="Z24" s="217"/>
      <c r="AA24" s="92"/>
      <c r="AD24" s="1"/>
      <c r="AE24" s="1"/>
    </row>
    <row r="25" spans="2:31">
      <c r="B25" s="116">
        <v>43513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1162097.5421052633</v>
      </c>
      <c r="P25" s="7">
        <f t="shared" si="4"/>
        <v>22079853.300000004</v>
      </c>
      <c r="Q25" s="164">
        <f t="shared" si="5"/>
        <v>1342177.8499999999</v>
      </c>
      <c r="R25" s="29">
        <f t="shared" si="2"/>
        <v>1059.110736114518</v>
      </c>
      <c r="S25" s="5">
        <f>SUM($Q$7:$Q25)/T25</f>
        <v>1354517.9026315792</v>
      </c>
      <c r="T25" s="18">
        <v>19</v>
      </c>
      <c r="U25" s="4"/>
      <c r="V25" s="131"/>
      <c r="W25" s="105">
        <v>-1247834</v>
      </c>
      <c r="X25" s="167"/>
      <c r="Y25" s="156">
        <f t="shared" si="7"/>
        <v>-1247834</v>
      </c>
      <c r="Z25" s="217"/>
      <c r="AA25" s="92"/>
      <c r="AD25" s="1"/>
      <c r="AE25" s="1"/>
    </row>
    <row r="26" spans="2:31">
      <c r="B26" s="116">
        <v>43514</v>
      </c>
      <c r="C26" s="14" t="str">
        <f t="shared" si="0"/>
        <v/>
      </c>
      <c r="D26" s="87"/>
      <c r="E26" s="87">
        <v>64</v>
      </c>
      <c r="F26" s="23">
        <v>-629698</v>
      </c>
      <c r="G26" s="26">
        <f>D26+E26+F26-E23-F23</f>
        <v>5230</v>
      </c>
      <c r="H26" s="132">
        <v>600</v>
      </c>
      <c r="I26" s="25">
        <v>-7500</v>
      </c>
      <c r="J26" s="63">
        <v>200</v>
      </c>
      <c r="K26" s="170">
        <f t="shared" si="3"/>
        <v>-6700</v>
      </c>
      <c r="L26" s="171">
        <v>34</v>
      </c>
      <c r="M26" s="153"/>
      <c r="N26" s="149">
        <f t="shared" si="6"/>
        <v>-1436</v>
      </c>
      <c r="O26" s="67">
        <f t="shared" si="1"/>
        <v>1164635.2075000003</v>
      </c>
      <c r="P26" s="7">
        <f t="shared" si="4"/>
        <v>23292704.150000006</v>
      </c>
      <c r="Q26" s="164">
        <f>Q25+N26+1</f>
        <v>1340742.8499999999</v>
      </c>
      <c r="R26" s="29">
        <f t="shared" si="2"/>
        <v>1058.5721937259566</v>
      </c>
      <c r="S26" s="5">
        <f>SUM($Q$7:$Q26)/T26</f>
        <v>1353829.1500000004</v>
      </c>
      <c r="T26" s="18">
        <v>20</v>
      </c>
      <c r="U26" s="138">
        <f>B26</f>
        <v>43514</v>
      </c>
      <c r="V26" s="131" t="s">
        <v>254</v>
      </c>
      <c r="W26" s="105">
        <v>-1241168</v>
      </c>
      <c r="X26" s="167">
        <f>AVERAGE(W26:W34)</f>
        <v>-1239240.7777777778</v>
      </c>
      <c r="Y26" s="156">
        <f>Y25-K26-L26</f>
        <v>-1241168</v>
      </c>
      <c r="Z26" s="217">
        <f>AVERAGE(Y26:Y34)</f>
        <v>-1239240.7777777778</v>
      </c>
      <c r="AC26" s="92"/>
      <c r="AD26" s="1"/>
      <c r="AE26" s="1"/>
    </row>
    <row r="27" spans="2:31">
      <c r="B27" s="116">
        <v>43515</v>
      </c>
      <c r="C27" s="14" t="str">
        <f t="shared" si="0"/>
        <v/>
      </c>
      <c r="D27" s="87"/>
      <c r="E27" s="87">
        <v>102</v>
      </c>
      <c r="F27" s="23">
        <v>-631183</v>
      </c>
      <c r="G27" s="26">
        <f>D27+E27+F27-E26-F26</f>
        <v>-1447</v>
      </c>
      <c r="H27" s="132">
        <v>-100</v>
      </c>
      <c r="I27" s="25">
        <v>-4300</v>
      </c>
      <c r="J27" s="63">
        <v>200</v>
      </c>
      <c r="K27" s="170">
        <f t="shared" si="3"/>
        <v>-4200</v>
      </c>
      <c r="L27" s="171">
        <v>-27</v>
      </c>
      <c r="M27" s="153"/>
      <c r="N27" s="149">
        <f>L27+K27+G27+M27</f>
        <v>-5674</v>
      </c>
      <c r="O27" s="67">
        <f t="shared" si="1"/>
        <v>1166661.0000000005</v>
      </c>
      <c r="P27" s="7">
        <f t="shared" si="4"/>
        <v>24499881.000000007</v>
      </c>
      <c r="Q27" s="164">
        <f>Q26+N27</f>
        <v>1335068.8499999999</v>
      </c>
      <c r="R27" s="29">
        <f t="shared" si="2"/>
        <v>1057.8744584344233</v>
      </c>
      <c r="S27" s="5">
        <f>SUM($Q$7:$Q27)/T27+1</f>
        <v>1352936.8023809528</v>
      </c>
      <c r="T27" s="18">
        <v>21</v>
      </c>
      <c r="U27" s="138">
        <f>B28+6</f>
        <v>43522</v>
      </c>
      <c r="V27" s="159">
        <v>1422.3</v>
      </c>
      <c r="W27" s="105">
        <v>-1236941</v>
      </c>
      <c r="X27" s="167"/>
      <c r="Y27" s="156">
        <f>Y26-K27-L27</f>
        <v>-1236941</v>
      </c>
      <c r="Z27" s="217"/>
      <c r="AA27" s="92"/>
      <c r="AD27" s="1"/>
      <c r="AE27" s="1"/>
    </row>
    <row r="28" spans="2:31">
      <c r="B28" s="116">
        <v>43516</v>
      </c>
      <c r="C28" s="14" t="str">
        <f t="shared" si="0"/>
        <v/>
      </c>
      <c r="D28" s="87">
        <f>-5910+5929</f>
        <v>19</v>
      </c>
      <c r="E28" s="87">
        <v>179</v>
      </c>
      <c r="F28" s="23">
        <v>-594939</v>
      </c>
      <c r="G28" s="26">
        <f>D28+E28+F28-E27-F27</f>
        <v>36340</v>
      </c>
      <c r="H28" s="132">
        <v>-5700</v>
      </c>
      <c r="I28" s="25">
        <v>10100</v>
      </c>
      <c r="J28" s="25">
        <v>100</v>
      </c>
      <c r="K28" s="170">
        <f t="shared" si="3"/>
        <v>4500</v>
      </c>
      <c r="L28" s="171">
        <v>-39</v>
      </c>
      <c r="M28" s="153"/>
      <c r="N28" s="149">
        <f>L28+K28+G28+M28</f>
        <v>40801</v>
      </c>
      <c r="O28" s="67">
        <f t="shared" si="1"/>
        <v>1170357.2204545459</v>
      </c>
      <c r="P28" s="7">
        <f t="shared" si="4"/>
        <v>25747858.850000009</v>
      </c>
      <c r="Q28" s="164">
        <f>Q27+N28</f>
        <v>1375869.8499999999</v>
      </c>
      <c r="R28" s="29">
        <f t="shared" si="2"/>
        <v>1058.6942569440696</v>
      </c>
      <c r="S28" s="5">
        <f>SUM($Q$7:$Q28)/T28+7</f>
        <v>1353985.2590909095</v>
      </c>
      <c r="T28" s="18">
        <v>22</v>
      </c>
      <c r="U28" s="4"/>
      <c r="V28" s="131"/>
      <c r="W28" s="105">
        <v>-1241402</v>
      </c>
      <c r="X28" s="167"/>
      <c r="Y28" s="156">
        <f t="shared" si="7"/>
        <v>-1241402</v>
      </c>
      <c r="Z28" s="217"/>
      <c r="AA28" s="92"/>
      <c r="AD28" s="1"/>
      <c r="AE28" s="1"/>
    </row>
    <row r="29" spans="2:31">
      <c r="B29" s="116">
        <v>43517</v>
      </c>
      <c r="C29" s="14" t="str">
        <f t="shared" si="0"/>
        <v/>
      </c>
      <c r="D29" s="87"/>
      <c r="E29" s="87">
        <v>118</v>
      </c>
      <c r="F29" s="23">
        <v>-626398</v>
      </c>
      <c r="G29" s="26">
        <f>D29+E29+F29-E28-F28</f>
        <v>-31520</v>
      </c>
      <c r="H29" s="132">
        <v>-16100</v>
      </c>
      <c r="I29" s="25">
        <v>7400</v>
      </c>
      <c r="J29" s="25">
        <v>100</v>
      </c>
      <c r="K29" s="170">
        <f t="shared" si="3"/>
        <v>-8600</v>
      </c>
      <c r="L29" s="171">
        <v>27</v>
      </c>
      <c r="M29" s="153"/>
      <c r="N29" s="149">
        <f>L29+K29+G29+M29</f>
        <v>-40093</v>
      </c>
      <c r="O29" s="67">
        <f t="shared" si="1"/>
        <v>1171986.6826086962</v>
      </c>
      <c r="P29" s="7">
        <f t="shared" si="4"/>
        <v>26955693.70000001</v>
      </c>
      <c r="Q29" s="164">
        <f>Q28+N29-50</f>
        <v>1335726.8499999999</v>
      </c>
      <c r="R29" s="29">
        <f t="shared" si="2"/>
        <v>1058.0729987530242</v>
      </c>
      <c r="S29" s="5">
        <f>SUM($Q$7:$Q29)/T29+6</f>
        <v>1353190.7195652178</v>
      </c>
      <c r="T29" s="18">
        <v>23</v>
      </c>
      <c r="U29" s="4"/>
      <c r="V29" s="131"/>
      <c r="W29" s="105">
        <v>-1232829</v>
      </c>
      <c r="X29" s="167"/>
      <c r="Y29" s="156">
        <f t="shared" si="7"/>
        <v>-1232829</v>
      </c>
      <c r="Z29" s="217"/>
      <c r="AA29" s="92"/>
      <c r="AD29" s="1"/>
      <c r="AE29" s="1"/>
    </row>
    <row r="30" spans="2:31">
      <c r="B30" s="116">
        <v>43518</v>
      </c>
      <c r="C30" s="14" t="str">
        <f t="shared" si="0"/>
        <v/>
      </c>
      <c r="D30" s="87"/>
      <c r="E30" s="87">
        <v>105</v>
      </c>
      <c r="F30" s="23">
        <v>-634081</v>
      </c>
      <c r="G30" s="26">
        <f>D30+E30+F30-E29-F29</f>
        <v>-7696</v>
      </c>
      <c r="H30" s="132">
        <v>2700</v>
      </c>
      <c r="I30" s="25">
        <v>6100</v>
      </c>
      <c r="J30" s="25">
        <v>100</v>
      </c>
      <c r="K30" s="170">
        <f t="shared" si="3"/>
        <v>8900</v>
      </c>
      <c r="L30" s="171">
        <v>46</v>
      </c>
      <c r="M30" s="153"/>
      <c r="N30" s="149">
        <f t="shared" si="6"/>
        <v>1250</v>
      </c>
      <c r="O30" s="67">
        <f t="shared" si="1"/>
        <v>1173532.4812500004</v>
      </c>
      <c r="P30" s="7">
        <f t="shared" si="4"/>
        <v>28164779.550000012</v>
      </c>
      <c r="Q30" s="164">
        <f>Q29+N30+1</f>
        <v>1336977.8499999999</v>
      </c>
      <c r="R30" s="29">
        <f t="shared" si="2"/>
        <v>1057.5449858734978</v>
      </c>
      <c r="S30" s="5">
        <f>SUM($Q$7:$Q30)/T30+6</f>
        <v>1352515.4333333338</v>
      </c>
      <c r="T30" s="18">
        <v>24</v>
      </c>
      <c r="U30" s="4"/>
      <c r="V30" s="131"/>
      <c r="W30" s="105">
        <v>-1241776</v>
      </c>
      <c r="X30" s="167"/>
      <c r="Y30" s="156">
        <f>Y29-K30-L30-1</f>
        <v>-1241776</v>
      </c>
      <c r="Z30" s="217"/>
      <c r="AA30" s="92"/>
      <c r="AD30" s="1"/>
      <c r="AE30" s="1"/>
    </row>
    <row r="31" spans="2:31">
      <c r="B31" s="116">
        <v>43519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1174954.6160000006</v>
      </c>
      <c r="P31" s="7">
        <f t="shared" si="4"/>
        <v>29373865.400000013</v>
      </c>
      <c r="Q31" s="164">
        <f t="shared" si="5"/>
        <v>1336977.8499999999</v>
      </c>
      <c r="R31" s="29">
        <f t="shared" si="2"/>
        <v>1057.0560863853882</v>
      </c>
      <c r="S31" s="5">
        <f>SUM($Q$7:$Q31)/T31+2</f>
        <v>1351890.1700000006</v>
      </c>
      <c r="T31" s="18">
        <v>25</v>
      </c>
      <c r="U31" s="4"/>
      <c r="V31" s="137"/>
      <c r="W31" s="105">
        <v>-1241776</v>
      </c>
      <c r="X31" s="167"/>
      <c r="Y31" s="156">
        <f t="shared" si="7"/>
        <v>-1241776</v>
      </c>
      <c r="Z31" s="217"/>
      <c r="AA31" s="92"/>
      <c r="AB31" s="92"/>
      <c r="AD31" s="1"/>
      <c r="AE31" s="1"/>
    </row>
    <row r="32" spans="2:31">
      <c r="B32" s="116">
        <v>43520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1176267.3557692314</v>
      </c>
      <c r="P32" s="7">
        <f t="shared" si="4"/>
        <v>30582951.250000015</v>
      </c>
      <c r="Q32" s="164">
        <f t="shared" si="5"/>
        <v>1336977.8499999999</v>
      </c>
      <c r="R32" s="29">
        <f t="shared" si="2"/>
        <v>1056.6061177820714</v>
      </c>
      <c r="S32" s="5">
        <f>SUM($Q$7:$Q32)/T32</f>
        <v>1351314.6961538468</v>
      </c>
      <c r="T32" s="18">
        <v>26</v>
      </c>
      <c r="U32" s="27"/>
      <c r="V32" s="137"/>
      <c r="W32" s="105">
        <v>-1241776</v>
      </c>
      <c r="X32" s="167"/>
      <c r="Y32" s="156">
        <f t="shared" si="7"/>
        <v>-1241776</v>
      </c>
      <c r="Z32" s="217"/>
      <c r="AD32" s="1"/>
      <c r="AE32" s="1"/>
    </row>
    <row r="33" spans="2:31">
      <c r="B33" s="116">
        <v>43521</v>
      </c>
      <c r="C33" s="14" t="str">
        <f t="shared" si="0"/>
        <v/>
      </c>
      <c r="D33" s="87"/>
      <c r="E33" s="87">
        <v>72</v>
      </c>
      <c r="F33" s="23">
        <v>-585258</v>
      </c>
      <c r="G33" s="26">
        <f>D33+E33+F33-E30-F30</f>
        <v>48790</v>
      </c>
      <c r="H33" s="132">
        <v>-4200</v>
      </c>
      <c r="I33" s="25">
        <v>-2200</v>
      </c>
      <c r="J33" s="25">
        <v>-1000</v>
      </c>
      <c r="K33" s="170">
        <f t="shared" si="3"/>
        <v>-7400</v>
      </c>
      <c r="L33" s="171">
        <v>-28</v>
      </c>
      <c r="M33" s="153"/>
      <c r="N33" s="149">
        <f t="shared" si="6"/>
        <v>41362</v>
      </c>
      <c r="O33" s="67">
        <f t="shared" si="1"/>
        <v>1179014.7814814821</v>
      </c>
      <c r="P33" s="7">
        <f t="shared" si="4"/>
        <v>31833399.100000016</v>
      </c>
      <c r="Q33" s="164">
        <f>Q32+N33</f>
        <v>1378339.8499999999</v>
      </c>
      <c r="R33" s="29">
        <f t="shared" si="2"/>
        <v>1057.3887559642342</v>
      </c>
      <c r="S33" s="5">
        <f>SUM($Q$7:$Q33)/T33</f>
        <v>1352315.6277777785</v>
      </c>
      <c r="T33" s="18">
        <v>27</v>
      </c>
      <c r="U33" s="138">
        <f>B33</f>
        <v>43521</v>
      </c>
      <c r="V33" s="131" t="s">
        <v>255</v>
      </c>
      <c r="W33" s="105">
        <v>-1234348</v>
      </c>
      <c r="X33" s="167">
        <f>AVERAGE(W33:W41)</f>
        <v>-1270364.6666666667</v>
      </c>
      <c r="Y33" s="156">
        <f t="shared" si="7"/>
        <v>-1234348</v>
      </c>
      <c r="Z33" s="217">
        <f>AVERAGE(Y33:Y41)</f>
        <v>-1270364.6666666667</v>
      </c>
      <c r="AD33" s="1"/>
      <c r="AE33" s="1"/>
    </row>
    <row r="34" spans="2:31">
      <c r="B34" s="116">
        <v>43522</v>
      </c>
      <c r="C34" s="14" t="str">
        <f t="shared" si="0"/>
        <v/>
      </c>
      <c r="D34" s="87"/>
      <c r="E34" s="87">
        <v>61</v>
      </c>
      <c r="F34" s="23">
        <v>-625666</v>
      </c>
      <c r="G34" s="26">
        <f>D34+E34+F34-E33-F33</f>
        <v>-40419</v>
      </c>
      <c r="H34" s="132">
        <v>-2900</v>
      </c>
      <c r="I34" s="25">
        <v>10700</v>
      </c>
      <c r="J34" s="25">
        <v>-1000</v>
      </c>
      <c r="K34" s="170">
        <f t="shared" si="3"/>
        <v>6800</v>
      </c>
      <c r="L34" s="171">
        <v>4</v>
      </c>
      <c r="M34" s="153"/>
      <c r="N34" s="149">
        <f>L34+K34+G34+M34</f>
        <v>-33615</v>
      </c>
      <c r="O34" s="67">
        <f t="shared" si="1"/>
        <v>1180365.3910714292</v>
      </c>
      <c r="P34" s="7">
        <f t="shared" si="4"/>
        <v>33050230.950000018</v>
      </c>
      <c r="Q34" s="164">
        <f>Q33+N34-1</f>
        <v>1344723.8499999999</v>
      </c>
      <c r="R34" s="29">
        <f t="shared" si="2"/>
        <v>1057.1767529299279</v>
      </c>
      <c r="S34" s="5">
        <f>SUM($Q$7:$Q34)/T34</f>
        <v>1352044.4928571435</v>
      </c>
      <c r="T34" s="18">
        <v>28</v>
      </c>
      <c r="U34" s="138">
        <f>B33+8</f>
        <v>43529</v>
      </c>
      <c r="V34" s="131">
        <v>1370.6</v>
      </c>
      <c r="W34" s="105">
        <v>-1241151</v>
      </c>
      <c r="X34" s="167"/>
      <c r="Y34" s="156">
        <f>Y33-K34-L34+1</f>
        <v>-1241151</v>
      </c>
      <c r="Z34" s="217"/>
      <c r="AA34" s="92"/>
      <c r="AD34" s="1"/>
      <c r="AE34" s="1"/>
    </row>
    <row r="35" spans="2:31">
      <c r="B35" s="116">
        <v>43523</v>
      </c>
      <c r="C35" s="14" t="str">
        <f t="shared" si="0"/>
        <v/>
      </c>
      <c r="D35" s="87">
        <f>-5929+6487.3</f>
        <v>558.30000000000018</v>
      </c>
      <c r="E35" s="87">
        <v>13</v>
      </c>
      <c r="F35" s="23">
        <v>-523407</v>
      </c>
      <c r="G35" s="26">
        <f>D35+E35+F35-E34-F34</f>
        <v>102769.29999999999</v>
      </c>
      <c r="H35" s="132">
        <v>600</v>
      </c>
      <c r="I35" s="25">
        <v>-300</v>
      </c>
      <c r="J35" s="25">
        <v>-1000</v>
      </c>
      <c r="K35" s="170">
        <f t="shared" si="3"/>
        <v>-700</v>
      </c>
      <c r="L35" s="171">
        <v>28</v>
      </c>
      <c r="M35" s="153"/>
      <c r="N35" s="149">
        <f t="shared" si="6"/>
        <v>102097.29999999999</v>
      </c>
      <c r="O35" s="67">
        <f t="shared" si="1"/>
        <v>1185143.4862068971</v>
      </c>
      <c r="P35" s="7">
        <f t="shared" si="4"/>
        <v>34369161.100000016</v>
      </c>
      <c r="Q35" s="164">
        <f>Q34+N35+1</f>
        <v>1446822.15</v>
      </c>
      <c r="R35" s="29">
        <f t="shared" si="2"/>
        <v>1059.731404568726</v>
      </c>
      <c r="S35" s="5">
        <f>SUM($Q$7:$Q35)/T35-1</f>
        <v>1355311.6879310352</v>
      </c>
      <c r="T35" s="18">
        <v>29</v>
      </c>
      <c r="U35" s="4"/>
      <c r="V35" s="131"/>
      <c r="W35" s="105">
        <v>-1240480</v>
      </c>
      <c r="X35" s="167"/>
      <c r="Y35" s="156">
        <f>Y34-K35-L35-1</f>
        <v>-1240480</v>
      </c>
      <c r="Z35" s="217"/>
      <c r="AA35" s="92"/>
      <c r="AD35" s="1"/>
      <c r="AE35" s="1"/>
    </row>
    <row r="36" spans="2:31">
      <c r="B36" s="116">
        <v>43524</v>
      </c>
      <c r="C36" s="14" t="str">
        <f t="shared" si="0"/>
        <v/>
      </c>
      <c r="D36" s="87">
        <f>-1946+1319</f>
        <v>-627</v>
      </c>
      <c r="E36" s="87">
        <v>0</v>
      </c>
      <c r="F36" s="23">
        <v>-644664</v>
      </c>
      <c r="G36" s="26">
        <f>D36+E36+F36-E35-F35</f>
        <v>-121897</v>
      </c>
      <c r="H36" s="132">
        <v>700</v>
      </c>
      <c r="I36" s="25">
        <v>23600</v>
      </c>
      <c r="J36" s="25">
        <v>-1000</v>
      </c>
      <c r="K36" s="170">
        <f t="shared" si="3"/>
        <v>23300</v>
      </c>
      <c r="L36" s="171">
        <v>-25</v>
      </c>
      <c r="M36" s="153"/>
      <c r="N36" s="149">
        <f>L36+K36+G36+M36</f>
        <v>-98622</v>
      </c>
      <c r="O36" s="67">
        <f t="shared" si="1"/>
        <v>1186315.5750000004</v>
      </c>
      <c r="P36" s="7">
        <f t="shared" si="4"/>
        <v>35589467.250000015</v>
      </c>
      <c r="Q36" s="164">
        <f>Q35+N36-2</f>
        <v>1348198.15</v>
      </c>
      <c r="R36" s="29">
        <f t="shared" si="2"/>
        <v>1059.5459736861314</v>
      </c>
      <c r="S36" s="5">
        <f>SUM($Q$7:$Q36)/T36-1</f>
        <v>1355074.5366666673</v>
      </c>
      <c r="T36" s="18">
        <v>30</v>
      </c>
      <c r="U36" s="4"/>
      <c r="V36" s="137"/>
      <c r="W36" s="105">
        <v>-1263754</v>
      </c>
      <c r="X36" s="167"/>
      <c r="Y36" s="156">
        <f>Y35-K36-L36+1</f>
        <v>-1263754</v>
      </c>
      <c r="Z36" s="217"/>
      <c r="AD36" s="1"/>
      <c r="AE36" s="1"/>
    </row>
    <row r="37" spans="2:31">
      <c r="B37" s="116">
        <v>43525</v>
      </c>
      <c r="C37" s="14" t="str">
        <f t="shared" si="0"/>
        <v/>
      </c>
      <c r="D37" s="87"/>
      <c r="E37" s="87">
        <v>0</v>
      </c>
      <c r="F37" s="23">
        <v>-640968</v>
      </c>
      <c r="G37" s="26">
        <f>D37+E37+F37-E36-F36</f>
        <v>3696</v>
      </c>
      <c r="H37" s="132">
        <v>1300</v>
      </c>
      <c r="I37" s="25">
        <v>28100</v>
      </c>
      <c r="J37" s="25">
        <v>-1000</v>
      </c>
      <c r="K37" s="170">
        <f t="shared" si="3"/>
        <v>28400</v>
      </c>
      <c r="L37" s="171">
        <v>-48</v>
      </c>
      <c r="M37" s="153"/>
      <c r="N37" s="149">
        <f>L37+K37+G37+M37</f>
        <v>32048</v>
      </c>
      <c r="O37" s="67">
        <f t="shared" si="1"/>
        <v>1188445.8516129036</v>
      </c>
      <c r="P37" s="7">
        <f t="shared" si="4"/>
        <v>36841821.400000013</v>
      </c>
      <c r="Q37" s="164">
        <f>Q36+N37</f>
        <v>1380246.15</v>
      </c>
      <c r="R37" s="29">
        <f t="shared" si="2"/>
        <v>1060.1824132357649</v>
      </c>
      <c r="S37" s="5">
        <f>SUM($Q$7:$Q37)/T37+1</f>
        <v>1355888.4919354843</v>
      </c>
      <c r="T37" s="18">
        <v>31</v>
      </c>
      <c r="U37" s="27"/>
      <c r="V37" s="137"/>
      <c r="W37" s="105">
        <v>-1292105</v>
      </c>
      <c r="X37" s="167"/>
      <c r="Y37" s="156">
        <f>Y36-K37-L37+1</f>
        <v>-1292105</v>
      </c>
      <c r="Z37" s="217"/>
      <c r="AA37" s="92"/>
      <c r="AD37" s="1"/>
      <c r="AE37" s="1"/>
    </row>
    <row r="38" spans="2:31">
      <c r="B38" s="116">
        <v>43526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1190442.9859375004</v>
      </c>
      <c r="P38" s="7">
        <f t="shared" si="4"/>
        <v>38094175.550000012</v>
      </c>
      <c r="Q38" s="164">
        <f t="shared" si="5"/>
        <v>1380246.15</v>
      </c>
      <c r="R38" s="29">
        <f t="shared" si="2"/>
        <v>1060.7768273230542</v>
      </c>
      <c r="S38" s="5">
        <f>SUM($Q$7:$Q38)/T38</f>
        <v>1356648.7000000004</v>
      </c>
      <c r="T38" s="18">
        <v>32</v>
      </c>
      <c r="U38" s="27"/>
      <c r="V38" s="137"/>
      <c r="W38" s="105">
        <v>-1292105</v>
      </c>
      <c r="X38" s="167"/>
      <c r="Y38" s="156">
        <f t="shared" si="7"/>
        <v>-1292105</v>
      </c>
      <c r="Z38" s="217"/>
      <c r="AD38" s="1"/>
      <c r="AE38" s="1"/>
    </row>
    <row r="39" spans="2:31">
      <c r="B39" s="116">
        <v>43527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1192319.081818182</v>
      </c>
      <c r="P39" s="7">
        <f t="shared" si="4"/>
        <v>39346529.70000001</v>
      </c>
      <c r="Q39" s="164">
        <f t="shared" si="5"/>
        <v>1380246.15</v>
      </c>
      <c r="R39" s="29">
        <f t="shared" si="2"/>
        <v>1061.3359508354117</v>
      </c>
      <c r="S39" s="5">
        <f>SUM($Q$7:$Q39)/T39</f>
        <v>1357363.7742424246</v>
      </c>
      <c r="T39" s="18">
        <v>33</v>
      </c>
      <c r="U39" s="27"/>
      <c r="V39" s="137"/>
      <c r="W39" s="105">
        <v>-1292105</v>
      </c>
      <c r="X39" s="167"/>
      <c r="Y39" s="156">
        <f t="shared" si="7"/>
        <v>-1292105</v>
      </c>
      <c r="Z39" s="217"/>
      <c r="AD39" s="1"/>
      <c r="AE39" s="1"/>
    </row>
    <row r="40" spans="2:31">
      <c r="B40" s="116">
        <v>43528</v>
      </c>
      <c r="C40" s="14" t="str">
        <f t="shared" si="0"/>
        <v/>
      </c>
      <c r="D40" s="87"/>
      <c r="E40" s="87">
        <v>0</v>
      </c>
      <c r="F40" s="23">
        <v>-649735</v>
      </c>
      <c r="G40" s="26">
        <f>D40+E40+F40-E37-F37</f>
        <v>-8767</v>
      </c>
      <c r="H40" s="132">
        <v>600</v>
      </c>
      <c r="I40" s="25">
        <v>-1100</v>
      </c>
      <c r="J40" s="25">
        <v>-200</v>
      </c>
      <c r="K40" s="170">
        <f t="shared" si="3"/>
        <v>-700</v>
      </c>
      <c r="L40" s="171">
        <v>18</v>
      </c>
      <c r="M40" s="153"/>
      <c r="N40" s="149">
        <f t="shared" si="6"/>
        <v>-9449</v>
      </c>
      <c r="O40" s="67">
        <f t="shared" si="1"/>
        <v>1193806.8191176474</v>
      </c>
      <c r="P40" s="7">
        <f t="shared" si="4"/>
        <v>40589431.850000009</v>
      </c>
      <c r="Q40" s="164">
        <f>Q39+N40-3</f>
        <v>1370794.15</v>
      </c>
      <c r="R40" s="29">
        <f t="shared" si="2"/>
        <v>1061.6448138226924</v>
      </c>
      <c r="S40" s="5">
        <f>SUM($Q$7:$Q40)/T40</f>
        <v>1357758.7852941179</v>
      </c>
      <c r="T40" s="18">
        <v>34</v>
      </c>
      <c r="U40" s="138">
        <f>B40</f>
        <v>43528</v>
      </c>
      <c r="V40" s="131" t="s">
        <v>256</v>
      </c>
      <c r="W40" s="105">
        <v>-1291422</v>
      </c>
      <c r="X40" s="167">
        <f>AVERAGE(W40:W48)</f>
        <v>-1299467.4444444445</v>
      </c>
      <c r="Y40" s="156">
        <f>Y39-K40-L40+1</f>
        <v>-1291422</v>
      </c>
      <c r="Z40" s="217">
        <f>AVERAGE(Y40:Y48)</f>
        <v>-1299467.4444444445</v>
      </c>
      <c r="AD40" s="1"/>
      <c r="AE40" s="1"/>
    </row>
    <row r="41" spans="2:31">
      <c r="B41" s="116">
        <v>43529</v>
      </c>
      <c r="C41" s="14" t="str">
        <f t="shared" si="0"/>
        <v/>
      </c>
      <c r="D41" s="87"/>
      <c r="E41" s="87">
        <v>0</v>
      </c>
      <c r="F41" s="23">
        <v>-648138</v>
      </c>
      <c r="G41" s="26">
        <f>D41+E41+F41-E40-F40</f>
        <v>1597</v>
      </c>
      <c r="H41" s="132">
        <v>700</v>
      </c>
      <c r="I41" s="25">
        <v>-6100</v>
      </c>
      <c r="J41" s="25">
        <v>-200</v>
      </c>
      <c r="K41" s="170">
        <f t="shared" si="3"/>
        <v>-5600</v>
      </c>
      <c r="L41" s="171">
        <v>-9</v>
      </c>
      <c r="M41" s="153"/>
      <c r="N41" s="149">
        <f>L41+K41+G41+M41</f>
        <v>-4012</v>
      </c>
      <c r="O41" s="67">
        <f t="shared" si="1"/>
        <v>1195094.942857143</v>
      </c>
      <c r="P41" s="7">
        <f t="shared" si="4"/>
        <v>41828323.000000007</v>
      </c>
      <c r="Q41" s="164">
        <f>Q40+N41+1</f>
        <v>1366783.15</v>
      </c>
      <c r="R41" s="29">
        <f t="shared" si="2"/>
        <v>1061.84642064063</v>
      </c>
      <c r="S41" s="5">
        <f>SUM($Q$7:$Q41)/T41</f>
        <v>1358016.6242857145</v>
      </c>
      <c r="T41" s="18">
        <v>35</v>
      </c>
      <c r="U41" s="138">
        <f>B42+6</f>
        <v>43536</v>
      </c>
      <c r="V41" s="131">
        <v>1341</v>
      </c>
      <c r="W41" s="105">
        <v>-1285812</v>
      </c>
      <c r="X41" s="167"/>
      <c r="Y41" s="156">
        <f>Y40-K41-L41+1</f>
        <v>-1285812</v>
      </c>
      <c r="Z41" s="217"/>
      <c r="AD41" s="1"/>
      <c r="AE41" s="1"/>
    </row>
    <row r="42" spans="2:31">
      <c r="B42" s="116">
        <v>43530</v>
      </c>
      <c r="C42" s="14" t="str">
        <f t="shared" si="0"/>
        <v/>
      </c>
      <c r="D42" s="87">
        <f>-6487.3+5769</f>
        <v>-718.30000000000018</v>
      </c>
      <c r="E42" s="87">
        <v>0</v>
      </c>
      <c r="F42" s="23">
        <v>-635177</v>
      </c>
      <c r="G42" s="26">
        <f>D42+E42+F42-E41-F41</f>
        <v>12242.699999999953</v>
      </c>
      <c r="H42" s="132">
        <v>700</v>
      </c>
      <c r="I42" s="25">
        <v>2600</v>
      </c>
      <c r="J42" s="25">
        <v>-300</v>
      </c>
      <c r="K42" s="170">
        <f t="shared" si="3"/>
        <v>3000</v>
      </c>
      <c r="L42" s="171">
        <v>-36</v>
      </c>
      <c r="M42" s="153"/>
      <c r="N42" s="149">
        <f>L42+K42+G42+M42</f>
        <v>15206.699999999953</v>
      </c>
      <c r="O42" s="67">
        <f t="shared" si="1"/>
        <v>1196733.8569444446</v>
      </c>
      <c r="P42" s="7">
        <f t="shared" si="4"/>
        <v>43082418.850000009</v>
      </c>
      <c r="Q42" s="164">
        <f>Q41+N42-2</f>
        <v>1381987.8499999999</v>
      </c>
      <c r="R42" s="29">
        <f t="shared" si="2"/>
        <v>1062.367068828908</v>
      </c>
      <c r="S42" s="5">
        <f>SUM($Q$7:$Q42)/T42</f>
        <v>1358682.4916666669</v>
      </c>
      <c r="T42" s="18">
        <v>36</v>
      </c>
      <c r="U42" s="4"/>
      <c r="V42" s="131"/>
      <c r="W42" s="105">
        <v>-1288775</v>
      </c>
      <c r="X42" s="167"/>
      <c r="Y42" s="156">
        <f>Y41-K42-L42+1</f>
        <v>-1288775</v>
      </c>
      <c r="Z42" s="217"/>
      <c r="AA42" s="92"/>
      <c r="AD42" s="1"/>
      <c r="AE42" s="1"/>
    </row>
    <row r="43" spans="2:31">
      <c r="B43" s="116">
        <v>43531</v>
      </c>
      <c r="C43" s="14" t="str">
        <f t="shared" si="0"/>
        <v/>
      </c>
      <c r="D43" s="87"/>
      <c r="E43" s="87">
        <v>0</v>
      </c>
      <c r="F43" s="23">
        <v>-621459</v>
      </c>
      <c r="G43" s="26">
        <f>D43+E43+F43-E42-F42</f>
        <v>13718</v>
      </c>
      <c r="H43" s="132">
        <v>700</v>
      </c>
      <c r="I43" s="25">
        <v>7700</v>
      </c>
      <c r="J43" s="25">
        <v>-300</v>
      </c>
      <c r="K43" s="170">
        <f t="shared" si="3"/>
        <v>8100</v>
      </c>
      <c r="L43" s="171">
        <v>-17</v>
      </c>
      <c r="M43" s="153"/>
      <c r="N43" s="149">
        <f t="shared" si="6"/>
        <v>21801</v>
      </c>
      <c r="O43" s="67">
        <f t="shared" si="1"/>
        <v>1198873.3972972976</v>
      </c>
      <c r="P43" s="7">
        <f t="shared" si="4"/>
        <v>44358315.70000001</v>
      </c>
      <c r="Q43" s="164">
        <f>Q42+N43</f>
        <v>1403788.8499999999</v>
      </c>
      <c r="R43" s="29">
        <f t="shared" si="2"/>
        <v>1063.319505858406</v>
      </c>
      <c r="S43" s="5">
        <f>SUM($Q$7:$Q43)/T43-1</f>
        <v>1359900.5824324328</v>
      </c>
      <c r="T43" s="18">
        <v>37</v>
      </c>
      <c r="U43" s="4"/>
      <c r="V43" s="137"/>
      <c r="W43" s="105">
        <v>-1296858</v>
      </c>
      <c r="X43" s="167"/>
      <c r="Y43" s="156">
        <f t="shared" si="7"/>
        <v>-1296858</v>
      </c>
      <c r="Z43" s="217"/>
      <c r="AA43" s="92"/>
      <c r="AD43" s="1"/>
      <c r="AE43" s="1"/>
    </row>
    <row r="44" spans="2:31">
      <c r="B44" s="116">
        <v>43532</v>
      </c>
      <c r="C44" s="14" t="str">
        <f t="shared" si="0"/>
        <v/>
      </c>
      <c r="D44" s="87"/>
      <c r="E44" s="87">
        <v>100</v>
      </c>
      <c r="F44" s="23">
        <v>-631807</v>
      </c>
      <c r="G44" s="26">
        <f>D44+E44+F44-E43-F43</f>
        <v>-10248</v>
      </c>
      <c r="H44" s="132">
        <v>700</v>
      </c>
      <c r="I44" s="25">
        <v>18800</v>
      </c>
      <c r="J44" s="25">
        <v>-300</v>
      </c>
      <c r="K44" s="170">
        <f t="shared" si="3"/>
        <v>19200</v>
      </c>
      <c r="L44" s="171">
        <v>20</v>
      </c>
      <c r="M44" s="153"/>
      <c r="N44" s="149">
        <f t="shared" si="6"/>
        <v>8972</v>
      </c>
      <c r="O44" s="67">
        <f t="shared" si="1"/>
        <v>1201136.4618421055</v>
      </c>
      <c r="P44" s="7">
        <f t="shared" si="4"/>
        <v>45643185.550000012</v>
      </c>
      <c r="Q44" s="164">
        <f>Q43+N44+1</f>
        <v>1412761.8499999999</v>
      </c>
      <c r="R44" s="29">
        <f t="shared" si="2"/>
        <v>1064.4071889604224</v>
      </c>
      <c r="S44" s="5">
        <f>SUM($Q$7:$Q44)/T44-1</f>
        <v>1361291.6421052634</v>
      </c>
      <c r="T44" s="18">
        <v>38</v>
      </c>
      <c r="U44" s="27"/>
      <c r="V44" s="137"/>
      <c r="W44" s="105">
        <v>-1316079</v>
      </c>
      <c r="X44" s="167"/>
      <c r="Y44" s="156">
        <f>Y43-K44-L44-1</f>
        <v>-1316079</v>
      </c>
      <c r="Z44" s="217"/>
      <c r="AA44" s="92"/>
      <c r="AD44" s="1"/>
      <c r="AE44" s="1"/>
    </row>
    <row r="45" spans="2:31">
      <c r="B45" s="116">
        <v>43533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>
        <f t="shared" si="6"/>
        <v>0</v>
      </c>
      <c r="O45" s="67">
        <f t="shared" si="1"/>
        <v>1203283.4717948721</v>
      </c>
      <c r="P45" s="7">
        <f t="shared" si="4"/>
        <v>46928055.400000013</v>
      </c>
      <c r="Q45" s="164">
        <f t="shared" si="5"/>
        <v>1412761.8499999999</v>
      </c>
      <c r="R45" s="29">
        <f t="shared" si="2"/>
        <v>1065.4398753515591</v>
      </c>
      <c r="S45" s="5">
        <f>SUM($Q$7:$Q45)/T45</f>
        <v>1362612.3653846157</v>
      </c>
      <c r="T45" s="18">
        <v>39</v>
      </c>
      <c r="U45" s="27"/>
      <c r="V45" s="137"/>
      <c r="W45" s="105">
        <v>-1316079</v>
      </c>
      <c r="X45" s="167"/>
      <c r="Y45" s="156">
        <f t="shared" si="7"/>
        <v>-1316079</v>
      </c>
      <c r="Z45" s="217"/>
      <c r="AD45" s="1"/>
      <c r="AE45" s="1"/>
    </row>
    <row r="46" spans="2:31">
      <c r="B46" s="116">
        <v>43534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>
        <f t="shared" si="6"/>
        <v>0</v>
      </c>
      <c r="O46" s="67">
        <f t="shared" si="1"/>
        <v>1205323.1312500003</v>
      </c>
      <c r="P46" s="7">
        <f t="shared" si="4"/>
        <v>48212925.250000015</v>
      </c>
      <c r="Q46" s="164">
        <f t="shared" si="5"/>
        <v>1412761.8499999999</v>
      </c>
      <c r="R46" s="29">
        <f t="shared" si="2"/>
        <v>1066.4201846088893</v>
      </c>
      <c r="S46" s="5">
        <f>SUM($Q$7:$Q46)/T46</f>
        <v>1363866.1025000005</v>
      </c>
      <c r="T46" s="18">
        <v>40</v>
      </c>
      <c r="U46" s="27"/>
      <c r="V46" s="137"/>
      <c r="W46" s="105">
        <v>-1316079</v>
      </c>
      <c r="X46" s="167"/>
      <c r="Y46" s="156">
        <f t="shared" si="7"/>
        <v>-1316079</v>
      </c>
      <c r="Z46" s="217"/>
      <c r="AD46" s="1"/>
      <c r="AE46" s="1"/>
    </row>
    <row r="47" spans="2:31">
      <c r="B47" s="116">
        <v>43535</v>
      </c>
      <c r="C47" s="14" t="str">
        <f t="shared" si="0"/>
        <v/>
      </c>
      <c r="D47" s="87"/>
      <c r="E47" s="87">
        <v>0</v>
      </c>
      <c r="F47" s="23">
        <v>-624350</v>
      </c>
      <c r="G47" s="26">
        <f>D47+E47+F47-E44-F44</f>
        <v>7357</v>
      </c>
      <c r="H47" s="132">
        <v>700</v>
      </c>
      <c r="I47" s="25">
        <v>-22600</v>
      </c>
      <c r="J47" s="25">
        <v>100</v>
      </c>
      <c r="K47" s="170">
        <f t="shared" si="3"/>
        <v>-21800</v>
      </c>
      <c r="L47" s="171">
        <v>46</v>
      </c>
      <c r="M47" s="153"/>
      <c r="N47" s="149">
        <f t="shared" si="6"/>
        <v>-14397</v>
      </c>
      <c r="O47" s="67">
        <f t="shared" si="1"/>
        <v>1206912.1243902443</v>
      </c>
      <c r="P47" s="7">
        <f t="shared" si="4"/>
        <v>49483397.100000016</v>
      </c>
      <c r="Q47" s="164">
        <f>Q46+N47-1</f>
        <v>1398363.8499999999</v>
      </c>
      <c r="R47" s="29">
        <f t="shared" si="2"/>
        <v>1067.0780900882073</v>
      </c>
      <c r="S47" s="5">
        <f>SUM($Q$7:$Q47)/T47</f>
        <v>1364707.5109756102</v>
      </c>
      <c r="T47" s="18">
        <v>41</v>
      </c>
      <c r="U47" s="138"/>
      <c r="V47" s="137"/>
      <c r="W47" s="105">
        <v>-1294325</v>
      </c>
      <c r="X47" s="167"/>
      <c r="Y47" s="156">
        <f t="shared" si="7"/>
        <v>-1294325</v>
      </c>
      <c r="Z47" s="217"/>
      <c r="AD47" s="1"/>
      <c r="AE47" s="1"/>
    </row>
    <row r="48" spans="2:31" ht="13.7" customHeight="1" thickBot="1">
      <c r="B48" s="220">
        <v>43536</v>
      </c>
      <c r="C48" s="221" t="str">
        <f t="shared" si="0"/>
        <v/>
      </c>
      <c r="D48" s="222"/>
      <c r="E48" s="222">
        <v>0</v>
      </c>
      <c r="F48" s="223">
        <v>-648651</v>
      </c>
      <c r="G48" s="224">
        <f>D48+E48+F48-E47-F47</f>
        <v>-24301</v>
      </c>
      <c r="H48" s="225">
        <v>650</v>
      </c>
      <c r="I48" s="226">
        <v>-5300</v>
      </c>
      <c r="J48" s="226">
        <v>100</v>
      </c>
      <c r="K48" s="173">
        <f t="shared" si="3"/>
        <v>-4550</v>
      </c>
      <c r="L48" s="174">
        <v>3</v>
      </c>
      <c r="M48" s="229"/>
      <c r="N48" s="230">
        <f>L48+K48+G48+M48</f>
        <v>-28848</v>
      </c>
      <c r="O48" s="231">
        <f t="shared" si="1"/>
        <v>1207738.6178571433</v>
      </c>
      <c r="P48" s="232">
        <f t="shared" si="4"/>
        <v>50725021.950000018</v>
      </c>
      <c r="Q48" s="233">
        <f>Q47+N48+1</f>
        <v>1369516.8499999999</v>
      </c>
      <c r="R48" s="234">
        <f t="shared" si="2"/>
        <v>1067.167625064601</v>
      </c>
      <c r="S48" s="235">
        <f>SUM($Q$7:$Q48)/T48</f>
        <v>1364822.0190476195</v>
      </c>
      <c r="T48" s="236">
        <v>42</v>
      </c>
      <c r="U48" s="237"/>
      <c r="V48" s="238"/>
      <c r="W48" s="239">
        <v>-1289778</v>
      </c>
      <c r="X48" s="240"/>
      <c r="Y48" s="241">
        <f t="shared" si="7"/>
        <v>-1289778</v>
      </c>
      <c r="Z48" s="242"/>
      <c r="AA48" s="92"/>
      <c r="AD48" s="1"/>
      <c r="AE48" s="1"/>
    </row>
    <row r="49" spans="2:31" ht="13.7" customHeigh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80"/>
      <c r="N49" s="181"/>
      <c r="O49" s="181"/>
      <c r="P49" s="182"/>
      <c r="Q49" s="183"/>
      <c r="R49" s="184"/>
      <c r="S49" s="6"/>
      <c r="T49" s="182"/>
      <c r="U49" s="185"/>
      <c r="V49" s="186"/>
      <c r="W49" s="187"/>
      <c r="X49" s="188"/>
      <c r="Y49" s="181"/>
      <c r="Z49" s="188"/>
      <c r="AA49" s="92"/>
      <c r="AD49" s="1"/>
      <c r="AE49" s="1"/>
    </row>
    <row r="50" spans="2:31" ht="13.7" customHeight="1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80"/>
      <c r="N50" s="181"/>
      <c r="O50" s="181"/>
      <c r="P50" s="182"/>
      <c r="Q50" s="183"/>
      <c r="R50" s="184"/>
      <c r="S50" s="6"/>
      <c r="T50" s="182"/>
      <c r="U50" s="185"/>
      <c r="V50" s="186"/>
      <c r="W50" s="187"/>
      <c r="X50" s="188"/>
      <c r="Y50" s="181"/>
      <c r="Z50" s="188"/>
      <c r="AA50" s="92"/>
      <c r="AD50" s="1"/>
      <c r="AE50" s="1"/>
    </row>
    <row r="51" spans="2:31" ht="13.5" thickTop="1" thickBot="1">
      <c r="B51" s="4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1"/>
      <c r="N51" s="4"/>
    </row>
    <row r="52" spans="2:31" ht="12.75" thickTop="1">
      <c r="B52" s="4"/>
      <c r="D52" s="27" t="s">
        <v>59</v>
      </c>
      <c r="E52" s="139"/>
      <c r="F52" s="142"/>
      <c r="G52" s="90">
        <f>'Jan 2019'!Q48</f>
        <v>1333120.8499999999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'Jan 2019'!E48</f>
        <v>157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'Jan 2019'!F48</f>
        <v>-648349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'Jan 2019'!Y48</f>
        <v>-1250901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B50A-90F2-4FBD-9C68-BE14C2CB1230}">
  <sheetPr>
    <pageSetUpPr fitToPage="1"/>
  </sheetPr>
  <dimension ref="B1:IU65513"/>
  <sheetViews>
    <sheetView zoomScale="120" zoomScaleNormal="12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26" sqref="H26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165296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45140</v>
      </c>
      <c r="C7" s="196" t="str">
        <f t="shared" ref="C7:C55" si="0">IF(OR(WEEKDAY(B7)=1,WEEKDAY(B7)=7),"F","")</f>
        <v/>
      </c>
      <c r="D7" s="197">
        <f>-11036+7367</f>
        <v>-3669</v>
      </c>
      <c r="E7" s="197">
        <v>25</v>
      </c>
      <c r="F7" s="198">
        <v>-3477581</v>
      </c>
      <c r="G7" s="199">
        <f>D7+E7+F7-G60-G61</f>
        <v>134682</v>
      </c>
      <c r="H7" s="132">
        <v>10300</v>
      </c>
      <c r="I7" s="63">
        <v>-11900</v>
      </c>
      <c r="J7" s="63">
        <v>-100</v>
      </c>
      <c r="K7" s="170">
        <f t="shared" ref="K7:K8" si="1">+H7+I7+J7</f>
        <v>-1700</v>
      </c>
      <c r="L7" s="169">
        <v>-10</v>
      </c>
      <c r="M7" s="203"/>
      <c r="N7" s="204">
        <f>L7+K7+G7+M7</f>
        <v>132972</v>
      </c>
      <c r="O7" s="205">
        <f t="shared" ref="O7:O55" si="2">P7/T7</f>
        <v>163039.45000000019</v>
      </c>
      <c r="P7" s="206">
        <f>(+$Q7-$Q$3)</f>
        <v>163039.45000000019</v>
      </c>
      <c r="Q7" s="207">
        <f>G59+N7-2</f>
        <v>328335.45000000019</v>
      </c>
      <c r="R7" s="208">
        <f t="shared" ref="R7:R55" si="3">$S7/$Q$3*100</f>
        <v>198.63484294840782</v>
      </c>
      <c r="S7" s="209">
        <f>$Q7</f>
        <v>328335.45000000019</v>
      </c>
      <c r="T7" s="210">
        <v>1</v>
      </c>
      <c r="U7" s="211">
        <f>B7</f>
        <v>45140</v>
      </c>
      <c r="V7" s="212">
        <v>1744.1</v>
      </c>
      <c r="W7" s="213">
        <v>-3198091</v>
      </c>
      <c r="X7" s="214">
        <f>AVERAGE(W7:W11)</f>
        <v>-3206965.6</v>
      </c>
      <c r="Y7" s="215">
        <f>G62-K7-L7</f>
        <v>-3198091</v>
      </c>
      <c r="Z7" s="216">
        <f>AVERAGE(Y7:Y13)</f>
        <v>-3209243.8571428573</v>
      </c>
      <c r="AA7" s="92"/>
    </row>
    <row r="8" spans="2:255">
      <c r="B8" s="116">
        <v>45141</v>
      </c>
      <c r="C8" s="14"/>
      <c r="D8" s="87"/>
      <c r="E8" s="128">
        <v>20</v>
      </c>
      <c r="F8" s="162">
        <v>-3568569</v>
      </c>
      <c r="G8" s="26">
        <f>D8+E8+F8-E7-F7</f>
        <v>-90993</v>
      </c>
      <c r="H8" s="132">
        <v>300</v>
      </c>
      <c r="I8" s="63">
        <v>6900</v>
      </c>
      <c r="J8" s="63">
        <v>-100</v>
      </c>
      <c r="K8" s="170">
        <f t="shared" si="1"/>
        <v>7100</v>
      </c>
      <c r="L8" s="171">
        <v>-20</v>
      </c>
      <c r="M8" s="153"/>
      <c r="N8" s="149">
        <f>L8+K8+G8+M8</f>
        <v>-83913</v>
      </c>
      <c r="O8" s="67">
        <f t="shared" si="2"/>
        <v>121083.45000000019</v>
      </c>
      <c r="P8" s="163">
        <f>(IF($Q8&lt;0,-$Q$3+P7,($Q8-$Q$3)+P7))</f>
        <v>242166.90000000037</v>
      </c>
      <c r="Q8" s="164">
        <f>Q7+N8+1</f>
        <v>244423.45000000019</v>
      </c>
      <c r="R8" s="29">
        <f t="shared" si="3"/>
        <v>173.25249854805935</v>
      </c>
      <c r="S8" s="165">
        <f>SUM($Q$7:$Q8)/T8</f>
        <v>286379.45000000019</v>
      </c>
      <c r="T8" s="166">
        <v>2</v>
      </c>
      <c r="U8" s="138">
        <f>B7+6</f>
        <v>45146</v>
      </c>
      <c r="V8" s="131"/>
      <c r="W8" s="105">
        <v>-3205171</v>
      </c>
      <c r="X8" s="167"/>
      <c r="Y8" s="156">
        <f>Y7-K8-L8</f>
        <v>-3205171</v>
      </c>
      <c r="Z8" s="217"/>
      <c r="AA8" s="92"/>
    </row>
    <row r="9" spans="2:255">
      <c r="B9" s="116">
        <v>45142</v>
      </c>
      <c r="C9" s="14" t="str">
        <f t="shared" si="0"/>
        <v/>
      </c>
      <c r="D9" s="87"/>
      <c r="E9" s="87">
        <v>15</v>
      </c>
      <c r="F9" s="23">
        <v>-3650302</v>
      </c>
      <c r="G9" s="26">
        <f>D9+E9+F9-E8-F8</f>
        <v>-81738</v>
      </c>
      <c r="H9" s="132">
        <v>300</v>
      </c>
      <c r="I9" s="63">
        <v>5100</v>
      </c>
      <c r="J9" s="63">
        <v>-100</v>
      </c>
      <c r="K9" s="170">
        <v>5300</v>
      </c>
      <c r="L9" s="171">
        <v>52</v>
      </c>
      <c r="M9" s="153"/>
      <c r="N9" s="149">
        <f>L9+K9+G9+M9</f>
        <v>-76386</v>
      </c>
      <c r="O9" s="67">
        <f t="shared" si="2"/>
        <v>81635.450000000186</v>
      </c>
      <c r="P9" s="163">
        <f t="shared" ref="P9" si="4">(IF($Q9&lt;0,-$Q$3+P8,($Q9-$Q$3)+P8))</f>
        <v>244906.35000000056</v>
      </c>
      <c r="Q9" s="164">
        <f>Q8+N9-2</f>
        <v>168035.45000000019</v>
      </c>
      <c r="R9" s="29">
        <f t="shared" si="3"/>
        <v>149.38803721808159</v>
      </c>
      <c r="S9" s="5">
        <f>SUM($Q$7:$Q9)/T9+1</f>
        <v>246932.45000000019</v>
      </c>
      <c r="T9" s="17">
        <v>3</v>
      </c>
      <c r="U9" s="4"/>
      <c r="V9" s="131"/>
      <c r="W9" s="105">
        <v>-3210522</v>
      </c>
      <c r="X9" s="167"/>
      <c r="Y9" s="156">
        <f>Y8-K9-L9+1</f>
        <v>-3210522</v>
      </c>
      <c r="Z9" s="217"/>
      <c r="AA9" s="92"/>
    </row>
    <row r="10" spans="2:255">
      <c r="B10" s="116">
        <v>45143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61911.450000000186</v>
      </c>
      <c r="P10" s="163">
        <f>(IF($Q10&lt;0,-$Q$3+P9,($Q10-$Q$3)+P9))</f>
        <v>247645.80000000075</v>
      </c>
      <c r="Q10" s="164">
        <f>Q9+N10</f>
        <v>168035.45000000019</v>
      </c>
      <c r="R10" s="29">
        <f t="shared" si="3"/>
        <v>137.45429411480023</v>
      </c>
      <c r="S10" s="5">
        <f>SUM($Q$7:$Q10)/T10-1</f>
        <v>227206.45000000019</v>
      </c>
      <c r="T10" s="17">
        <v>4</v>
      </c>
      <c r="U10" s="4"/>
      <c r="V10" s="131"/>
      <c r="W10" s="105">
        <v>-3210522</v>
      </c>
      <c r="X10" s="167"/>
      <c r="Y10" s="156">
        <f>Y9-K10-L10</f>
        <v>-3210522</v>
      </c>
      <c r="Z10" s="217"/>
      <c r="AA10" s="92"/>
    </row>
    <row r="11" spans="2:255">
      <c r="B11" s="116">
        <v>45144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50077.050000000185</v>
      </c>
      <c r="P11" s="163">
        <f t="shared" ref="P11:P55" si="5">(IF($Q11&lt;0,-$Q$3+P10,($Q11-$Q$3)+P10))</f>
        <v>250385.25000000093</v>
      </c>
      <c r="Q11" s="164">
        <f t="shared" ref="Q11:Q18" si="6">Q10+N11</f>
        <v>168035.45000000019</v>
      </c>
      <c r="R11" s="29">
        <f t="shared" si="3"/>
        <v>130.29537919852882</v>
      </c>
      <c r="S11" s="5">
        <f>SUM($Q$7:$Q11)/T11</f>
        <v>215373.05000000019</v>
      </c>
      <c r="T11" s="17">
        <v>5</v>
      </c>
      <c r="U11" s="27"/>
      <c r="V11" s="134"/>
      <c r="W11" s="105">
        <v>-3210522</v>
      </c>
      <c r="X11" s="167"/>
      <c r="Y11" s="156">
        <f t="shared" ref="Y11:Y39" si="7">Y10-K11-L11</f>
        <v>-3210522</v>
      </c>
      <c r="Z11" s="217"/>
      <c r="AA11" s="92"/>
    </row>
    <row r="12" spans="2:255">
      <c r="B12" s="116">
        <v>45145</v>
      </c>
      <c r="C12" s="14"/>
      <c r="D12" s="87"/>
      <c r="E12" s="87">
        <v>10</v>
      </c>
      <c r="F12" s="23">
        <v>-3662885</v>
      </c>
      <c r="G12" s="26">
        <f>D12+E12+F12-E9-F9</f>
        <v>-12588</v>
      </c>
      <c r="H12" s="132">
        <v>300</v>
      </c>
      <c r="I12" s="63">
        <v>5200</v>
      </c>
      <c r="J12" s="63">
        <v>200</v>
      </c>
      <c r="K12" s="170">
        <v>5700</v>
      </c>
      <c r="L12" s="171">
        <v>65</v>
      </c>
      <c r="M12" s="153"/>
      <c r="N12" s="149">
        <f t="shared" ref="N12:N55" si="8">L12+K12+G12+M12</f>
        <v>-6823</v>
      </c>
      <c r="O12" s="67">
        <f t="shared" si="2"/>
        <v>41050.283333333522</v>
      </c>
      <c r="P12" s="163">
        <f t="shared" si="5"/>
        <v>246301.70000000112</v>
      </c>
      <c r="Q12" s="164">
        <f>Q11+N12</f>
        <v>161212.45000000019</v>
      </c>
      <c r="R12" s="29">
        <f t="shared" si="3"/>
        <v>124.83440817281333</v>
      </c>
      <c r="S12" s="5">
        <f>SUM($Q$7:$Q12)/T12</f>
        <v>206346.28333333353</v>
      </c>
      <c r="T12" s="17">
        <v>6</v>
      </c>
      <c r="U12" s="138">
        <f>B12</f>
        <v>45145</v>
      </c>
      <c r="V12" s="310">
        <v>1626.2</v>
      </c>
      <c r="W12" s="105">
        <v>-3216287</v>
      </c>
      <c r="X12" s="167">
        <f>AVERAGE(W12:W20)</f>
        <v>-3215112.4444444445</v>
      </c>
      <c r="Y12" s="156">
        <f>Y11-K12-L12</f>
        <v>-3216287</v>
      </c>
      <c r="Z12" s="217">
        <f>AVERAGE(Y12:Y20)</f>
        <v>-3215112.5555555555</v>
      </c>
      <c r="AA12" s="92"/>
    </row>
    <row r="13" spans="2:255">
      <c r="B13" s="116">
        <v>45146</v>
      </c>
      <c r="C13" s="14"/>
      <c r="D13" s="87"/>
      <c r="E13" s="87">
        <v>10</v>
      </c>
      <c r="F13" s="23">
        <v>-3661181</v>
      </c>
      <c r="G13" s="26">
        <f>D13+E13+F13-E12-F12</f>
        <v>1704</v>
      </c>
      <c r="H13" s="132">
        <v>300</v>
      </c>
      <c r="I13" s="63">
        <v>-2800</v>
      </c>
      <c r="J13" s="63">
        <v>-100</v>
      </c>
      <c r="K13" s="170">
        <f>+H13+I13+J13</f>
        <v>-2600</v>
      </c>
      <c r="L13" s="171">
        <v>-96</v>
      </c>
      <c r="M13" s="153"/>
      <c r="N13" s="149">
        <f t="shared" si="8"/>
        <v>-992</v>
      </c>
      <c r="O13" s="67">
        <f t="shared" si="2"/>
        <v>34461.164285714469</v>
      </c>
      <c r="P13" s="163">
        <f t="shared" si="5"/>
        <v>241228.1500000013</v>
      </c>
      <c r="Q13" s="164">
        <f>Q12+N13+2</f>
        <v>160222.45000000019</v>
      </c>
      <c r="R13" s="29">
        <f t="shared" si="3"/>
        <v>120.8481537881827</v>
      </c>
      <c r="S13" s="5">
        <f>SUM($Q$7:$Q13)/T13</f>
        <v>199757.16428571448</v>
      </c>
      <c r="T13" s="17">
        <v>7</v>
      </c>
      <c r="U13" s="138">
        <f>B12+8</f>
        <v>45153</v>
      </c>
      <c r="V13" s="249"/>
      <c r="W13" s="105">
        <v>-3213592</v>
      </c>
      <c r="X13" s="167"/>
      <c r="Y13" s="156">
        <f>Y12-K13-L13-1</f>
        <v>-3213592</v>
      </c>
      <c r="Z13" s="217"/>
      <c r="AA13" s="92"/>
      <c r="AB13" s="92"/>
    </row>
    <row r="14" spans="2:255">
      <c r="B14" s="116">
        <v>45147</v>
      </c>
      <c r="C14" s="14"/>
      <c r="D14" s="87">
        <f>-7367+5691</f>
        <v>-1676</v>
      </c>
      <c r="E14" s="87">
        <v>2</v>
      </c>
      <c r="F14" s="23">
        <v>-3669617</v>
      </c>
      <c r="G14" s="26">
        <f>D14+E14+F14-E13-F13</f>
        <v>-10120</v>
      </c>
      <c r="H14" s="132">
        <v>300</v>
      </c>
      <c r="I14" s="63">
        <v>4500</v>
      </c>
      <c r="J14" s="63">
        <v>-100</v>
      </c>
      <c r="K14" s="170">
        <f t="shared" ref="K14:K55" si="9">+H14+I14+J14</f>
        <v>4700</v>
      </c>
      <c r="L14" s="171">
        <v>50</v>
      </c>
      <c r="M14" s="154"/>
      <c r="N14" s="149">
        <f>L14+K14+G14+M14</f>
        <v>-5370</v>
      </c>
      <c r="O14" s="67">
        <f>P14/T14+1</f>
        <v>28849.075000000186</v>
      </c>
      <c r="P14" s="163">
        <f t="shared" si="5"/>
        <v>230784.60000000149</v>
      </c>
      <c r="Q14" s="164">
        <f>Q13+N14</f>
        <v>154852.45000000019</v>
      </c>
      <c r="R14" s="29">
        <f t="shared" si="3"/>
        <v>117.45237331816874</v>
      </c>
      <c r="S14" s="5">
        <f>SUM($Q$7:$Q14)/T14</f>
        <v>194144.07500000019</v>
      </c>
      <c r="T14" s="17">
        <v>8</v>
      </c>
      <c r="U14" s="4"/>
      <c r="V14" s="4"/>
      <c r="W14" s="105">
        <v>-3218342</v>
      </c>
      <c r="X14" s="167"/>
      <c r="Y14" s="156">
        <f>Y13-K14-L14</f>
        <v>-3218342</v>
      </c>
      <c r="Z14" s="217"/>
      <c r="AA14" s="92"/>
    </row>
    <row r="15" spans="2:255">
      <c r="B15" s="116">
        <v>45148</v>
      </c>
      <c r="C15" s="14" t="str">
        <f t="shared" si="0"/>
        <v/>
      </c>
      <c r="D15" s="87"/>
      <c r="E15" s="87">
        <v>12</v>
      </c>
      <c r="F15" s="23">
        <v>-3661336</v>
      </c>
      <c r="G15" s="26">
        <f>D15+E15+F15-E14-F14</f>
        <v>8291</v>
      </c>
      <c r="H15" s="132">
        <v>300</v>
      </c>
      <c r="I15" s="63">
        <v>1600</v>
      </c>
      <c r="J15" s="63">
        <v>-100</v>
      </c>
      <c r="K15" s="170">
        <f>+H15+I15+J15</f>
        <v>1800</v>
      </c>
      <c r="L15" s="172">
        <v>67</v>
      </c>
      <c r="M15" s="153"/>
      <c r="N15" s="149">
        <f>L15+K15+G15+M15</f>
        <v>10158</v>
      </c>
      <c r="O15" s="67">
        <f t="shared" si="2"/>
        <v>25607.672222222409</v>
      </c>
      <c r="P15" s="7">
        <f t="shared" si="5"/>
        <v>230469.05000000168</v>
      </c>
      <c r="Q15" s="164">
        <f>Q14+N15-30</f>
        <v>164980.45000000019</v>
      </c>
      <c r="R15" s="29">
        <f t="shared" si="3"/>
        <v>115.49200962045202</v>
      </c>
      <c r="S15" s="5">
        <f>SUM($Q$7:$Q15)/T15</f>
        <v>190903.67222222241</v>
      </c>
      <c r="T15" s="17">
        <v>9</v>
      </c>
      <c r="U15" s="4"/>
      <c r="V15" s="4"/>
      <c r="W15" s="105">
        <v>-3220180</v>
      </c>
      <c r="X15" s="167"/>
      <c r="Y15" s="156">
        <f>Y14-K15-L15+29</f>
        <v>-3220180</v>
      </c>
      <c r="Z15" s="217"/>
      <c r="AA15" s="92"/>
      <c r="AB15" s="92"/>
    </row>
    <row r="16" spans="2:255" s="69" customFormat="1">
      <c r="B16" s="116">
        <v>45149</v>
      </c>
      <c r="C16" s="14"/>
      <c r="D16" s="129"/>
      <c r="E16" s="87">
        <v>10</v>
      </c>
      <c r="F16" s="23">
        <v>-3644591</v>
      </c>
      <c r="G16" s="26">
        <f>D16+E16+F16-E15-F15</f>
        <v>16743</v>
      </c>
      <c r="H16" s="132">
        <v>200</v>
      </c>
      <c r="I16" s="63">
        <v>-4600</v>
      </c>
      <c r="J16" s="63">
        <v>-100</v>
      </c>
      <c r="K16" s="170">
        <f t="shared" si="9"/>
        <v>-4500</v>
      </c>
      <c r="L16" s="172">
        <v>-23</v>
      </c>
      <c r="M16" s="153"/>
      <c r="N16" s="152">
        <f>L16+K16+G16+M16</f>
        <v>12220</v>
      </c>
      <c r="O16" s="67">
        <f t="shared" si="2"/>
        <v>24237.450000000186</v>
      </c>
      <c r="P16" s="70">
        <f t="shared" si="5"/>
        <v>242374.50000000186</v>
      </c>
      <c r="Q16" s="164">
        <f>Q15+N16+1</f>
        <v>177201.45000000019</v>
      </c>
      <c r="R16" s="71">
        <f t="shared" si="3"/>
        <v>114.66305899719302</v>
      </c>
      <c r="S16" s="72">
        <f>SUM($Q$7:$Q16)/T16</f>
        <v>189533.45000000019</v>
      </c>
      <c r="T16" s="73">
        <v>10</v>
      </c>
      <c r="U16" s="218"/>
      <c r="V16" s="133"/>
      <c r="W16" s="105">
        <v>-3215657</v>
      </c>
      <c r="X16" s="167"/>
      <c r="Y16" s="156">
        <f>Y15-K16-L16</f>
        <v>-3215657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45150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23116.359090909278</v>
      </c>
      <c r="P17" s="7">
        <f t="shared" si="5"/>
        <v>254279.95000000205</v>
      </c>
      <c r="Q17" s="164">
        <f t="shared" si="6"/>
        <v>177201.45000000019</v>
      </c>
      <c r="R17" s="29">
        <f t="shared" si="3"/>
        <v>113.98482666907202</v>
      </c>
      <c r="S17" s="5">
        <f>SUM($Q$7:$Q17)/T17</f>
        <v>188412.35909090927</v>
      </c>
      <c r="T17" s="18">
        <v>11</v>
      </c>
      <c r="U17" s="27"/>
      <c r="V17" s="136"/>
      <c r="W17" s="105">
        <v>-3215657</v>
      </c>
      <c r="X17" s="167"/>
      <c r="Y17" s="156">
        <f t="shared" si="7"/>
        <v>-3215657</v>
      </c>
      <c r="Z17" s="217"/>
      <c r="AA17" s="92"/>
      <c r="AC17" s="92"/>
    </row>
    <row r="18" spans="2:31">
      <c r="B18" s="116">
        <v>45151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22182.116666666854</v>
      </c>
      <c r="P18" s="7">
        <f t="shared" si="5"/>
        <v>266185.40000000224</v>
      </c>
      <c r="Q18" s="164">
        <f t="shared" si="6"/>
        <v>177201.45000000019</v>
      </c>
      <c r="R18" s="29">
        <f t="shared" si="3"/>
        <v>113.4190280869875</v>
      </c>
      <c r="S18" s="5">
        <f>SUM($Q$7:$Q18)/T18-1</f>
        <v>187477.11666666684</v>
      </c>
      <c r="T18" s="18">
        <v>12</v>
      </c>
      <c r="U18" s="27"/>
      <c r="V18" s="136"/>
      <c r="W18" s="105">
        <v>-3215657</v>
      </c>
      <c r="X18" s="167"/>
      <c r="Y18" s="156">
        <f t="shared" si="7"/>
        <v>-3215657</v>
      </c>
      <c r="Z18" s="217"/>
      <c r="AA18" s="92"/>
    </row>
    <row r="19" spans="2:31">
      <c r="B19" s="116">
        <v>45152</v>
      </c>
      <c r="C19" s="14" t="str">
        <f t="shared" si="0"/>
        <v/>
      </c>
      <c r="D19" s="87"/>
      <c r="E19" s="87">
        <v>5</v>
      </c>
      <c r="F19" s="23">
        <v>-3670103</v>
      </c>
      <c r="G19" s="26">
        <f>D19+E19+F19-E16-F16</f>
        <v>-25517</v>
      </c>
      <c r="H19" s="132">
        <v>300</v>
      </c>
      <c r="I19" s="63">
        <v>1300</v>
      </c>
      <c r="J19" s="63">
        <v>600</v>
      </c>
      <c r="K19" s="170">
        <f>+H19+I19+J19</f>
        <v>2200</v>
      </c>
      <c r="L19" s="171">
        <v>23</v>
      </c>
      <c r="M19" s="153"/>
      <c r="N19" s="149">
        <f t="shared" si="8"/>
        <v>-23294</v>
      </c>
      <c r="O19" s="67">
        <f t="shared" si="2"/>
        <v>19599.757692307878</v>
      </c>
      <c r="P19" s="7">
        <f t="shared" si="5"/>
        <v>254796.85000000242</v>
      </c>
      <c r="Q19" s="164">
        <f>Q18+N19</f>
        <v>153907.45000000019</v>
      </c>
      <c r="R19" s="29">
        <f t="shared" si="3"/>
        <v>111.85676464784864</v>
      </c>
      <c r="S19" s="5">
        <f>SUM($Q$7:$Q19)/T19-1</f>
        <v>184894.75769230787</v>
      </c>
      <c r="T19" s="18">
        <v>13</v>
      </c>
      <c r="U19" s="138">
        <f>B19</f>
        <v>45152</v>
      </c>
      <c r="V19" s="131">
        <v>1617.7</v>
      </c>
      <c r="W19" s="105">
        <v>-3217880</v>
      </c>
      <c r="X19" s="167">
        <f>AVERAGE(W20:W27)</f>
        <v>-3209928</v>
      </c>
      <c r="Y19" s="156">
        <f>Y18-K19-L19</f>
        <v>-3217880</v>
      </c>
      <c r="Z19" s="217">
        <f>AVERAGE(Y19:Y27)</f>
        <v>-3210811.6666666665</v>
      </c>
      <c r="AA19" s="92"/>
      <c r="AD19" s="309"/>
    </row>
    <row r="20" spans="2:31">
      <c r="B20" s="116">
        <v>45153</v>
      </c>
      <c r="C20" s="14"/>
      <c r="D20" s="87"/>
      <c r="E20" s="87">
        <v>2</v>
      </c>
      <c r="F20" s="23">
        <v>-3646035</v>
      </c>
      <c r="G20" s="26">
        <f>D20+E20+F20-E19-F19</f>
        <v>24065</v>
      </c>
      <c r="H20" s="132">
        <v>300</v>
      </c>
      <c r="I20" s="63">
        <v>-16000</v>
      </c>
      <c r="J20" s="63">
        <v>600</v>
      </c>
      <c r="K20" s="170">
        <f t="shared" si="9"/>
        <v>-15100</v>
      </c>
      <c r="L20" s="171">
        <v>-19</v>
      </c>
      <c r="M20" s="153"/>
      <c r="N20" s="149">
        <f t="shared" si="8"/>
        <v>8946</v>
      </c>
      <c r="O20" s="67">
        <f t="shared" si="2"/>
        <v>18025.2357142859</v>
      </c>
      <c r="P20" s="7">
        <f t="shared" si="5"/>
        <v>252353.30000000261</v>
      </c>
      <c r="Q20" s="164">
        <f>Q19+N20-1</f>
        <v>162852.45000000019</v>
      </c>
      <c r="R20" s="29">
        <f t="shared" si="3"/>
        <v>110.9048226903772</v>
      </c>
      <c r="S20" s="5">
        <f>SUM($Q$7:$Q20)/T20</f>
        <v>183321.2357142859</v>
      </c>
      <c r="T20" s="18">
        <v>14</v>
      </c>
      <c r="U20" s="138">
        <f>B19+8</f>
        <v>45160</v>
      </c>
      <c r="V20" s="131"/>
      <c r="W20" s="105">
        <v>-3202760</v>
      </c>
      <c r="X20" s="167"/>
      <c r="Y20" s="156">
        <f>Y19-K20-L20</f>
        <v>-3202761</v>
      </c>
      <c r="Z20" s="217"/>
      <c r="AA20" s="92"/>
      <c r="AB20" s="92"/>
    </row>
    <row r="21" spans="2:31">
      <c r="B21" s="116">
        <v>45154</v>
      </c>
      <c r="C21" s="14" t="str">
        <f t="shared" si="0"/>
        <v/>
      </c>
      <c r="D21" s="87">
        <f>-5691+5152</f>
        <v>-539</v>
      </c>
      <c r="E21" s="87">
        <v>230</v>
      </c>
      <c r="F21" s="23">
        <v>-3670775</v>
      </c>
      <c r="G21" s="26">
        <f>D21+E21+F21-E20-F20</f>
        <v>-25051</v>
      </c>
      <c r="H21" s="132">
        <v>2900</v>
      </c>
      <c r="I21" s="63">
        <v>6600</v>
      </c>
      <c r="J21" s="63">
        <v>500</v>
      </c>
      <c r="K21" s="170">
        <f t="shared" si="9"/>
        <v>10000</v>
      </c>
      <c r="L21" s="171">
        <v>7</v>
      </c>
      <c r="M21" s="153"/>
      <c r="N21" s="149">
        <f>L21+K21+G21+M21</f>
        <v>-15044</v>
      </c>
      <c r="O21" s="67">
        <f t="shared" si="2"/>
        <v>15657.78333333352</v>
      </c>
      <c r="P21" s="7">
        <f t="shared" si="5"/>
        <v>234866.75000000279</v>
      </c>
      <c r="Q21" s="164">
        <f>Q20+N21+1</f>
        <v>147809.45000000019</v>
      </c>
      <c r="R21" s="29">
        <f t="shared" si="3"/>
        <v>109.47196746039441</v>
      </c>
      <c r="S21" s="5">
        <f>SUM($Q$7:$Q21)/T21-1</f>
        <v>180952.78333333353</v>
      </c>
      <c r="T21" s="18">
        <v>15</v>
      </c>
      <c r="U21" s="4"/>
      <c r="V21" s="131"/>
      <c r="W21" s="105">
        <v>-3212768</v>
      </c>
      <c r="X21" s="167"/>
      <c r="Y21" s="156">
        <f>Y20-K21-L21</f>
        <v>-3212768</v>
      </c>
      <c r="Z21" s="217"/>
      <c r="AA21" s="92"/>
    </row>
    <row r="22" spans="2:31">
      <c r="B22" s="116">
        <v>45155</v>
      </c>
      <c r="C22" s="14" t="str">
        <f t="shared" si="0"/>
        <v/>
      </c>
      <c r="D22" s="87"/>
      <c r="E22" s="87">
        <v>242</v>
      </c>
      <c r="F22" s="23">
        <v>-3671891</v>
      </c>
      <c r="G22" s="26">
        <f>D22+E22+F22-E21-F21</f>
        <v>-1104</v>
      </c>
      <c r="H22" s="132">
        <v>300</v>
      </c>
      <c r="I22" s="63">
        <v>900</v>
      </c>
      <c r="J22" s="63">
        <v>500</v>
      </c>
      <c r="K22" s="170">
        <f t="shared" si="9"/>
        <v>1700</v>
      </c>
      <c r="L22" s="171">
        <v>16</v>
      </c>
      <c r="M22" s="153"/>
      <c r="N22" s="149">
        <f>L22+K22+G22+M22</f>
        <v>612</v>
      </c>
      <c r="O22" s="67">
        <f t="shared" si="2"/>
        <v>13624.575000000186</v>
      </c>
      <c r="P22" s="7">
        <f t="shared" si="5"/>
        <v>217993.20000000298</v>
      </c>
      <c r="Q22" s="164">
        <f>Q21+N22+1</f>
        <v>148422.45000000019</v>
      </c>
      <c r="R22" s="29">
        <f t="shared" si="3"/>
        <v>108.24374153034569</v>
      </c>
      <c r="S22" s="5">
        <f>SUM($Q$7:$Q22)/T22+2</f>
        <v>178922.57500000019</v>
      </c>
      <c r="T22" s="18">
        <v>16</v>
      </c>
      <c r="U22" s="4"/>
      <c r="V22" s="131"/>
      <c r="W22" s="105">
        <v>-3214484</v>
      </c>
      <c r="X22" s="167"/>
      <c r="Y22" s="156">
        <f>Y21-K22-L22</f>
        <v>-3214484</v>
      </c>
      <c r="Z22" s="217"/>
      <c r="AA22" s="92"/>
    </row>
    <row r="23" spans="2:31">
      <c r="B23" s="116">
        <v>45156</v>
      </c>
      <c r="C23" s="14"/>
      <c r="D23" s="87"/>
      <c r="E23" s="87">
        <v>347</v>
      </c>
      <c r="F23" s="23">
        <v>-3663047</v>
      </c>
      <c r="G23" s="26">
        <f>D23+E23+F23-E22-F22</f>
        <v>8949</v>
      </c>
      <c r="H23" s="132">
        <v>200</v>
      </c>
      <c r="I23" s="63">
        <v>-8600</v>
      </c>
      <c r="J23" s="63">
        <v>500</v>
      </c>
      <c r="K23" s="170">
        <f t="shared" si="9"/>
        <v>-7900</v>
      </c>
      <c r="L23" s="171">
        <v>11</v>
      </c>
      <c r="M23" s="153"/>
      <c r="N23" s="149">
        <f>L23+K23+G23+M23</f>
        <v>1060</v>
      </c>
      <c r="O23" s="67">
        <f t="shared" si="2"/>
        <v>11892.92058823548</v>
      </c>
      <c r="P23" s="7">
        <f t="shared" si="5"/>
        <v>202179.65000000317</v>
      </c>
      <c r="Q23" s="164">
        <f>Q22+N23</f>
        <v>149482.45000000019</v>
      </c>
      <c r="R23" s="29">
        <f t="shared" si="3"/>
        <v>107.19492340300762</v>
      </c>
      <c r="S23" s="5">
        <f>SUM($Q$7:$Q23)/T23</f>
        <v>177188.92058823549</v>
      </c>
      <c r="T23" s="18">
        <v>17</v>
      </c>
      <c r="U23" s="27"/>
      <c r="V23" s="135"/>
      <c r="W23" s="105">
        <v>-3206595</v>
      </c>
      <c r="X23" s="167"/>
      <c r="Y23" s="156">
        <f>Y22-K23-L23</f>
        <v>-3206595</v>
      </c>
      <c r="Z23" s="217"/>
      <c r="AA23" s="92"/>
    </row>
    <row r="24" spans="2:31">
      <c r="B24" s="116">
        <v>45157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10353.672222222409</v>
      </c>
      <c r="P24" s="7">
        <f t="shared" si="5"/>
        <v>186366.10000000335</v>
      </c>
      <c r="Q24" s="164">
        <f t="shared" ref="Q24:Q25" si="10">Q23+N24</f>
        <v>149482.45000000019</v>
      </c>
      <c r="R24" s="29">
        <f t="shared" si="3"/>
        <v>106.26371613482625</v>
      </c>
      <c r="S24" s="5">
        <f>SUM($Q$7:$Q24)/T24</f>
        <v>175649.67222222241</v>
      </c>
      <c r="T24" s="18">
        <v>18</v>
      </c>
      <c r="U24" s="4"/>
      <c r="V24" s="135"/>
      <c r="W24" s="105">
        <v>-3206595</v>
      </c>
      <c r="X24" s="167"/>
      <c r="Y24" s="156">
        <f t="shared" si="7"/>
        <v>-3206595</v>
      </c>
      <c r="Z24" s="217"/>
      <c r="AA24" s="92"/>
      <c r="AD24" s="1"/>
      <c r="AE24" s="1"/>
    </row>
    <row r="25" spans="2:31">
      <c r="B25" s="116">
        <v>45158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8976.4500000001863</v>
      </c>
      <c r="P25" s="7">
        <f t="shared" si="5"/>
        <v>170552.55000000354</v>
      </c>
      <c r="Q25" s="164">
        <f t="shared" si="10"/>
        <v>149482.45000000019</v>
      </c>
      <c r="R25" s="29">
        <f t="shared" si="3"/>
        <v>105.4305306843482</v>
      </c>
      <c r="S25" s="5">
        <f>SUM($Q$7:$Q25)/T25</f>
        <v>174272.45000000019</v>
      </c>
      <c r="T25" s="18">
        <v>19</v>
      </c>
      <c r="U25" s="4"/>
      <c r="V25" s="131"/>
      <c r="W25" s="105">
        <v>-3206595</v>
      </c>
      <c r="X25" s="167"/>
      <c r="Y25" s="156">
        <f t="shared" si="7"/>
        <v>-3206595</v>
      </c>
      <c r="Z25" s="217"/>
      <c r="AA25" s="92"/>
      <c r="AD25" s="1"/>
      <c r="AE25" s="1"/>
    </row>
    <row r="26" spans="2:31">
      <c r="B26" s="116">
        <v>45159</v>
      </c>
      <c r="C26" s="14"/>
      <c r="D26" s="87"/>
      <c r="E26" s="87">
        <v>343</v>
      </c>
      <c r="F26" s="23">
        <v>-3668041</v>
      </c>
      <c r="G26" s="26">
        <f>D26+E26+F26-E23-F23</f>
        <v>-4998</v>
      </c>
      <c r="H26" s="132">
        <v>-1800</v>
      </c>
      <c r="I26" s="63">
        <v>7000</v>
      </c>
      <c r="J26" s="63">
        <v>800</v>
      </c>
      <c r="K26" s="170">
        <f t="shared" si="9"/>
        <v>6000</v>
      </c>
      <c r="L26" s="171">
        <v>35</v>
      </c>
      <c r="M26" s="153"/>
      <c r="N26" s="149">
        <f t="shared" si="8"/>
        <v>1037</v>
      </c>
      <c r="O26" s="67">
        <f t="shared" si="2"/>
        <v>7788.8000000001866</v>
      </c>
      <c r="P26" s="7">
        <f t="shared" si="5"/>
        <v>155776.00000000373</v>
      </c>
      <c r="Q26" s="164">
        <f>Q25+N26</f>
        <v>150519.45000000019</v>
      </c>
      <c r="R26" s="29">
        <f t="shared" si="3"/>
        <v>104.71082179847073</v>
      </c>
      <c r="S26" s="5">
        <f>SUM($Q$7:$Q26)/T26-2</f>
        <v>173082.80000000019</v>
      </c>
      <c r="T26" s="18">
        <v>20</v>
      </c>
      <c r="U26" s="138">
        <f>B26</f>
        <v>45159</v>
      </c>
      <c r="V26" s="131">
        <v>1613.7</v>
      </c>
      <c r="W26" s="105">
        <v>-3212630</v>
      </c>
      <c r="X26" s="167">
        <f>AVERAGE(W26:W34)</f>
        <v>-3209669.5555555555</v>
      </c>
      <c r="Y26" s="156">
        <f>Y25-K26-L26</f>
        <v>-3212630</v>
      </c>
      <c r="Z26" s="217">
        <f>AVERAGE(Y26:Y34)</f>
        <v>-3209669.5555555555</v>
      </c>
      <c r="AC26" s="92"/>
      <c r="AD26" s="1"/>
      <c r="AE26" s="1"/>
    </row>
    <row r="27" spans="2:31">
      <c r="B27" s="116">
        <v>45160</v>
      </c>
      <c r="C27" s="14" t="str">
        <f t="shared" si="0"/>
        <v/>
      </c>
      <c r="D27" s="87"/>
      <c r="E27" s="87">
        <v>340</v>
      </c>
      <c r="F27" s="23">
        <v>-3673396</v>
      </c>
      <c r="G27" s="26">
        <f>D27+E27+F27-E26-F26</f>
        <v>-5358</v>
      </c>
      <c r="H27" s="132">
        <v>-900</v>
      </c>
      <c r="I27" s="63">
        <v>4500</v>
      </c>
      <c r="J27" s="63">
        <v>800</v>
      </c>
      <c r="K27" s="170">
        <f t="shared" si="9"/>
        <v>4400</v>
      </c>
      <c r="L27" s="171">
        <v>-34</v>
      </c>
      <c r="M27" s="153"/>
      <c r="N27" s="149">
        <f>L27+K27+G27+M27</f>
        <v>-992</v>
      </c>
      <c r="O27" s="67">
        <f t="shared" si="2"/>
        <v>6667.069047619234</v>
      </c>
      <c r="P27" s="7">
        <f t="shared" si="5"/>
        <v>140008.45000000391</v>
      </c>
      <c r="Q27" s="164">
        <f>Q26+N27+1</f>
        <v>149528.45000000019</v>
      </c>
      <c r="R27" s="29">
        <f t="shared" si="3"/>
        <v>104.03341221059146</v>
      </c>
      <c r="S27" s="5">
        <f>SUM($Q$7:$Q27)/T27</f>
        <v>171963.06904761924</v>
      </c>
      <c r="T27" s="18">
        <v>21</v>
      </c>
      <c r="U27" s="138">
        <f>B28+6</f>
        <v>45167</v>
      </c>
      <c r="V27" s="159"/>
      <c r="W27" s="105">
        <v>-3216997</v>
      </c>
      <c r="X27" s="167"/>
      <c r="Y27" s="156">
        <f>Y26-K27-L27-1</f>
        <v>-3216997</v>
      </c>
      <c r="Z27" s="217"/>
      <c r="AA27" s="92"/>
      <c r="AD27" s="1"/>
      <c r="AE27" s="1"/>
    </row>
    <row r="28" spans="2:31">
      <c r="B28" s="116">
        <v>45161</v>
      </c>
      <c r="C28" s="14" t="str">
        <f t="shared" si="0"/>
        <v/>
      </c>
      <c r="D28" s="87">
        <f>-5152+5891</f>
        <v>739</v>
      </c>
      <c r="E28" s="87">
        <v>41</v>
      </c>
      <c r="F28" s="23">
        <v>-3626035</v>
      </c>
      <c r="G28" s="26">
        <f>D28+E28+F28-E27-F27</f>
        <v>47801</v>
      </c>
      <c r="H28" s="132">
        <v>-20000</v>
      </c>
      <c r="I28" s="63">
        <v>6400</v>
      </c>
      <c r="J28" s="63">
        <v>800</v>
      </c>
      <c r="K28" s="170">
        <f t="shared" si="9"/>
        <v>-12800</v>
      </c>
      <c r="L28" s="171">
        <v>13</v>
      </c>
      <c r="M28" s="153"/>
      <c r="N28" s="149">
        <f>L28+K28+G28+M28</f>
        <v>35014</v>
      </c>
      <c r="O28" s="67">
        <f t="shared" si="2"/>
        <v>7238.7681818183682</v>
      </c>
      <c r="P28" s="7">
        <f t="shared" si="5"/>
        <v>159252.9000000041</v>
      </c>
      <c r="Q28" s="164">
        <f>Q27+N28-2</f>
        <v>184540.45000000019</v>
      </c>
      <c r="R28" s="29">
        <f t="shared" si="3"/>
        <v>104.37867110021921</v>
      </c>
      <c r="S28" s="5">
        <f>SUM($Q$7:$Q28)/T28-1</f>
        <v>172533.76818181836</v>
      </c>
      <c r="T28" s="18">
        <v>22</v>
      </c>
      <c r="U28" s="4"/>
      <c r="V28" s="131"/>
      <c r="W28" s="105">
        <v>-3204209</v>
      </c>
      <c r="X28" s="167"/>
      <c r="Y28" s="156">
        <f>Y27-K28-L28+1</f>
        <v>-3204209</v>
      </c>
      <c r="Z28" s="217"/>
      <c r="AA28" s="92"/>
      <c r="AD28" s="1"/>
      <c r="AE28" s="1"/>
    </row>
    <row r="29" spans="2:31">
      <c r="B29" s="116">
        <v>45162</v>
      </c>
      <c r="C29" s="14" t="str">
        <f t="shared" si="0"/>
        <v/>
      </c>
      <c r="D29" s="87"/>
      <c r="E29" s="87">
        <v>10</v>
      </c>
      <c r="F29" s="23">
        <v>-3659360</v>
      </c>
      <c r="G29" s="26">
        <f>D29+E29+F29-E28-F28</f>
        <v>-33356</v>
      </c>
      <c r="H29" s="132">
        <v>-15700</v>
      </c>
      <c r="I29" s="63">
        <v>15900</v>
      </c>
      <c r="J29" s="63">
        <v>800</v>
      </c>
      <c r="K29" s="170">
        <f t="shared" si="9"/>
        <v>1000</v>
      </c>
      <c r="L29" s="171">
        <v>-2</v>
      </c>
      <c r="M29" s="153"/>
      <c r="N29" s="149">
        <f>L29+K29+G29+M29</f>
        <v>-32358</v>
      </c>
      <c r="O29" s="67">
        <f t="shared" si="2"/>
        <v>6353.8847826088822</v>
      </c>
      <c r="P29" s="7">
        <f t="shared" si="5"/>
        <v>146139.35000000428</v>
      </c>
      <c r="Q29" s="164">
        <f>Q28+N29</f>
        <v>152182.45000000019</v>
      </c>
      <c r="R29" s="29">
        <f t="shared" si="3"/>
        <v>103.84333848526819</v>
      </c>
      <c r="S29" s="5">
        <f>SUM($Q$7:$Q29)/T29-1</f>
        <v>171648.88478260889</v>
      </c>
      <c r="T29" s="18">
        <v>23</v>
      </c>
      <c r="U29" s="4"/>
      <c r="V29" s="131"/>
      <c r="W29" s="105">
        <v>-3205207</v>
      </c>
      <c r="X29" s="167"/>
      <c r="Y29" s="156">
        <f>Y28-K29-L29</f>
        <v>-3205207</v>
      </c>
      <c r="Z29" s="217"/>
      <c r="AA29" s="92"/>
      <c r="AD29" s="1"/>
      <c r="AE29" s="1"/>
    </row>
    <row r="30" spans="2:31">
      <c r="B30" s="116">
        <v>45163</v>
      </c>
      <c r="C30" s="14" t="str">
        <f t="shared" si="0"/>
        <v/>
      </c>
      <c r="D30" s="87"/>
      <c r="E30" s="87">
        <v>25</v>
      </c>
      <c r="F30" s="23">
        <v>-3667104</v>
      </c>
      <c r="G30" s="26">
        <f>D30+E30+F30-E29-F29</f>
        <v>-7729</v>
      </c>
      <c r="H30" s="132">
        <v>-700</v>
      </c>
      <c r="I30" s="25">
        <v>4150</v>
      </c>
      <c r="J30" s="25">
        <v>700</v>
      </c>
      <c r="K30" s="170">
        <f t="shared" si="9"/>
        <v>4150</v>
      </c>
      <c r="L30" s="171">
        <v>26</v>
      </c>
      <c r="M30" s="153"/>
      <c r="N30" s="149">
        <f>L30+K30+G30+M30</f>
        <v>-3553</v>
      </c>
      <c r="O30" s="67">
        <f t="shared" si="2"/>
        <v>5394.7000000001863</v>
      </c>
      <c r="P30" s="7">
        <f t="shared" si="5"/>
        <v>129472.80000000447</v>
      </c>
      <c r="Q30" s="164">
        <f>Q29+N30</f>
        <v>148629.45000000019</v>
      </c>
      <c r="R30" s="29">
        <f t="shared" si="3"/>
        <v>103.26668521924316</v>
      </c>
      <c r="S30" s="5">
        <f>SUM($Q$7:$Q30)/T30+5</f>
        <v>170695.70000000019</v>
      </c>
      <c r="T30" s="18">
        <v>24</v>
      </c>
      <c r="U30" s="4"/>
      <c r="V30" s="131"/>
      <c r="W30" s="105">
        <v>-3209383</v>
      </c>
      <c r="X30" s="167"/>
      <c r="Y30" s="156">
        <f>Y29-K30-L30</f>
        <v>-3209383</v>
      </c>
      <c r="Z30" s="217"/>
      <c r="AA30" s="92"/>
      <c r="AD30" s="1"/>
      <c r="AE30" s="1"/>
    </row>
    <row r="31" spans="2:31">
      <c r="B31" s="116">
        <v>45164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4512.2500000001864</v>
      </c>
      <c r="P31" s="7">
        <f t="shared" si="5"/>
        <v>112806.25000000466</v>
      </c>
      <c r="Q31" s="164">
        <f t="shared" ref="Q31:Q39" si="11">Q30+N31</f>
        <v>148629.45000000019</v>
      </c>
      <c r="R31" s="29">
        <f t="shared" si="3"/>
        <v>102.72919489884825</v>
      </c>
      <c r="S31" s="5">
        <f>SUM($Q$7:$Q31)/T31-1</f>
        <v>169807.25000000017</v>
      </c>
      <c r="T31" s="18">
        <v>25</v>
      </c>
      <c r="U31" s="4"/>
      <c r="V31" s="137"/>
      <c r="W31" s="105">
        <v>-3209383</v>
      </c>
      <c r="X31" s="167"/>
      <c r="Y31" s="156">
        <f t="shared" si="7"/>
        <v>-3209383</v>
      </c>
      <c r="Z31" s="217"/>
      <c r="AA31" s="92"/>
      <c r="AB31" s="92"/>
      <c r="AD31" s="1"/>
      <c r="AE31" s="1"/>
    </row>
    <row r="32" spans="2:31">
      <c r="B32" s="116">
        <v>45165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3697.6807692309553</v>
      </c>
      <c r="P32" s="7">
        <f t="shared" si="5"/>
        <v>96139.700000004843</v>
      </c>
      <c r="Q32" s="164">
        <f t="shared" si="11"/>
        <v>148629.45000000019</v>
      </c>
      <c r="R32" s="29">
        <f t="shared" si="3"/>
        <v>102.23640062023942</v>
      </c>
      <c r="S32" s="5">
        <f>SUM($Q$7:$Q32)/T32-1</f>
        <v>168992.68076923097</v>
      </c>
      <c r="T32" s="18">
        <v>26</v>
      </c>
      <c r="U32" s="27"/>
      <c r="V32" s="137"/>
      <c r="W32" s="105">
        <v>-3209383</v>
      </c>
      <c r="X32" s="167"/>
      <c r="Y32" s="156">
        <f t="shared" si="7"/>
        <v>-3209383</v>
      </c>
      <c r="Z32" s="217"/>
      <c r="AD32" s="1"/>
      <c r="AE32" s="1"/>
    </row>
    <row r="33" spans="2:31">
      <c r="B33" s="116">
        <v>45166</v>
      </c>
      <c r="C33" s="14" t="str">
        <f t="shared" si="0"/>
        <v/>
      </c>
      <c r="D33" s="87"/>
      <c r="E33" s="87">
        <v>1</v>
      </c>
      <c r="F33" s="23">
        <v>-3660772</v>
      </c>
      <c r="G33" s="26">
        <f>D33+E33+F33-E30-F30</f>
        <v>6308</v>
      </c>
      <c r="H33" s="132">
        <v>-3700</v>
      </c>
      <c r="I33" s="25">
        <v>5000</v>
      </c>
      <c r="J33" s="25">
        <v>200</v>
      </c>
      <c r="K33" s="170">
        <f t="shared" si="9"/>
        <v>1500</v>
      </c>
      <c r="L33" s="171">
        <v>-3</v>
      </c>
      <c r="M33" s="153"/>
      <c r="N33" s="149">
        <f t="shared" si="8"/>
        <v>7805</v>
      </c>
      <c r="O33" s="67">
        <f t="shared" si="2"/>
        <v>3232.5611111112976</v>
      </c>
      <c r="P33" s="7">
        <f t="shared" si="5"/>
        <v>87279.150000005029</v>
      </c>
      <c r="Q33" s="164">
        <f>Q32+N33+1</f>
        <v>156435.45000000019</v>
      </c>
      <c r="R33" s="29">
        <f t="shared" si="3"/>
        <v>101.95501470762227</v>
      </c>
      <c r="S33" s="5">
        <f>SUM($Q$7:$Q33)/T33-1</f>
        <v>168527.56111111131</v>
      </c>
      <c r="T33" s="18">
        <v>27</v>
      </c>
      <c r="U33" s="138">
        <f>B33</f>
        <v>45166</v>
      </c>
      <c r="V33" s="131">
        <v>1592.6</v>
      </c>
      <c r="W33" s="105">
        <v>-3210881</v>
      </c>
      <c r="X33" s="167">
        <f>AVERAGE(W33:W41)</f>
        <v>-3209437</v>
      </c>
      <c r="Y33" s="156">
        <f>Y32-K33-L33-1</f>
        <v>-3210881</v>
      </c>
      <c r="Z33" s="217">
        <f>AVERAGE(Y33:Y41)</f>
        <v>-3209237.111111111</v>
      </c>
      <c r="AD33" s="1"/>
      <c r="AE33" s="1"/>
    </row>
    <row r="34" spans="2:31">
      <c r="B34" s="116">
        <v>45167</v>
      </c>
      <c r="C34" s="14" t="str">
        <f t="shared" si="0"/>
        <v/>
      </c>
      <c r="D34" s="87"/>
      <c r="E34" s="87">
        <v>25</v>
      </c>
      <c r="F34" s="23">
        <v>-3653382</v>
      </c>
      <c r="G34" s="26">
        <f>D34+E34+F34-E33-F33</f>
        <v>7414</v>
      </c>
      <c r="H34" s="132">
        <v>300</v>
      </c>
      <c r="I34" s="25">
        <v>-2400</v>
      </c>
      <c r="J34" s="25">
        <v>200</v>
      </c>
      <c r="K34" s="170">
        <f t="shared" si="9"/>
        <v>-1900</v>
      </c>
      <c r="L34" s="171">
        <v>-27</v>
      </c>
      <c r="M34" s="153"/>
      <c r="N34" s="149">
        <f>L34+K34+G34+M34</f>
        <v>5487</v>
      </c>
      <c r="O34" s="67">
        <f t="shared" si="2"/>
        <v>2996.6285714287578</v>
      </c>
      <c r="P34" s="7">
        <f t="shared" si="5"/>
        <v>83905.600000005215</v>
      </c>
      <c r="Q34" s="164">
        <f>Q33+N34</f>
        <v>161922.45000000019</v>
      </c>
      <c r="R34" s="29">
        <f t="shared" si="3"/>
        <v>101.81228134463554</v>
      </c>
      <c r="S34" s="5">
        <f>SUM($Q$7:$Q34)/T34-1</f>
        <v>168291.62857142877</v>
      </c>
      <c r="T34" s="18">
        <v>28</v>
      </c>
      <c r="U34" s="138">
        <f>B33+8</f>
        <v>45174</v>
      </c>
      <c r="V34" s="131"/>
      <c r="W34" s="105">
        <v>-3208953</v>
      </c>
      <c r="X34" s="167"/>
      <c r="Y34" s="156">
        <f>Y33-K34-L34+1</f>
        <v>-3208953</v>
      </c>
      <c r="Z34" s="217"/>
      <c r="AA34" s="92"/>
      <c r="AD34" s="1"/>
      <c r="AE34" s="1"/>
    </row>
    <row r="35" spans="2:31">
      <c r="B35" s="116">
        <v>45168</v>
      </c>
      <c r="C35" s="14" t="str">
        <f t="shared" si="0"/>
        <v/>
      </c>
      <c r="D35" s="87">
        <f>-5891+7036</f>
        <v>1145</v>
      </c>
      <c r="E35" s="87">
        <v>65</v>
      </c>
      <c r="F35" s="23">
        <v>-3661476</v>
      </c>
      <c r="G35" s="26">
        <f>D35+E35+F35-E34-F34</f>
        <v>-6909</v>
      </c>
      <c r="H35" s="132">
        <v>300</v>
      </c>
      <c r="I35" s="25">
        <v>-1700</v>
      </c>
      <c r="J35" s="25">
        <v>200</v>
      </c>
      <c r="K35" s="170">
        <f t="shared" si="9"/>
        <v>-1200</v>
      </c>
      <c r="L35" s="171">
        <v>-3</v>
      </c>
      <c r="M35" s="153"/>
      <c r="N35" s="149">
        <f t="shared" si="8"/>
        <v>-8112</v>
      </c>
      <c r="O35" s="67">
        <f t="shared" si="2"/>
        <v>2497.2431034484621</v>
      </c>
      <c r="P35" s="7">
        <f t="shared" si="5"/>
        <v>72420.050000005402</v>
      </c>
      <c r="Q35" s="164">
        <f>Q34+N35</f>
        <v>153810.45000000019</v>
      </c>
      <c r="R35" s="29">
        <f t="shared" si="3"/>
        <v>101.51077043815245</v>
      </c>
      <c r="S35" s="5">
        <f>SUM($Q$7:$Q35)/T35</f>
        <v>167793.24310344848</v>
      </c>
      <c r="T35" s="18">
        <v>29</v>
      </c>
      <c r="U35" s="4"/>
      <c r="V35" s="131"/>
      <c r="W35" s="105">
        <v>-3207751</v>
      </c>
      <c r="X35" s="167"/>
      <c r="Y35" s="156">
        <f>Y34-K35-L35-1</f>
        <v>-3207751</v>
      </c>
      <c r="Z35" s="217"/>
      <c r="AA35" s="92"/>
      <c r="AD35" s="1"/>
      <c r="AE35" s="1"/>
    </row>
    <row r="36" spans="2:31">
      <c r="B36" s="116">
        <v>45169</v>
      </c>
      <c r="C36" s="14" t="str">
        <f t="shared" si="0"/>
        <v/>
      </c>
      <c r="D36" s="87">
        <f>-789+2205</f>
        <v>1416</v>
      </c>
      <c r="E36" s="87">
        <v>153</v>
      </c>
      <c r="F36" s="23">
        <v>-3636954</v>
      </c>
      <c r="G36" s="26">
        <f>D36+E36+F36-E35-F35</f>
        <v>26026</v>
      </c>
      <c r="H36" s="132">
        <v>300</v>
      </c>
      <c r="I36" s="25">
        <v>-14000</v>
      </c>
      <c r="J36" s="25">
        <v>100</v>
      </c>
      <c r="K36" s="170">
        <f t="shared" si="9"/>
        <v>-13600</v>
      </c>
      <c r="L36" s="171">
        <v>-27</v>
      </c>
      <c r="M36" s="153"/>
      <c r="N36" s="149">
        <f t="shared" si="8"/>
        <v>12399</v>
      </c>
      <c r="O36" s="67">
        <f t="shared" si="2"/>
        <v>2444.416666666853</v>
      </c>
      <c r="P36" s="7">
        <f t="shared" si="5"/>
        <v>73332.500000005588</v>
      </c>
      <c r="Q36" s="164">
        <f>Q35+N36-1</f>
        <v>166208.45000000019</v>
      </c>
      <c r="R36" s="29">
        <f t="shared" si="3"/>
        <v>101.47820677249713</v>
      </c>
      <c r="S36" s="5">
        <f>SUM($Q$7:$Q36)/T36-1</f>
        <v>167739.41666666686</v>
      </c>
      <c r="T36" s="18">
        <v>30</v>
      </c>
      <c r="U36" s="4"/>
      <c r="V36" s="136"/>
      <c r="W36" s="105">
        <v>-3194123</v>
      </c>
      <c r="X36" s="167"/>
      <c r="Y36" s="156">
        <f>Y35-K36-L36</f>
        <v>-3194124</v>
      </c>
      <c r="Z36" s="217"/>
      <c r="AD36" s="1"/>
      <c r="AE36" s="1"/>
    </row>
    <row r="37" spans="2:31">
      <c r="B37" s="116">
        <v>45170</v>
      </c>
      <c r="C37" s="14"/>
      <c r="D37" s="87"/>
      <c r="E37" s="87">
        <v>55</v>
      </c>
      <c r="F37" s="23">
        <v>-3657484</v>
      </c>
      <c r="G37" s="26">
        <f>D37+E37+F37-E36-F36</f>
        <v>-20628</v>
      </c>
      <c r="H37" s="132">
        <v>10300</v>
      </c>
      <c r="I37" s="25">
        <v>7300</v>
      </c>
      <c r="J37" s="25">
        <v>100</v>
      </c>
      <c r="K37" s="170">
        <f t="shared" si="9"/>
        <v>17700</v>
      </c>
      <c r="L37" s="171">
        <v>-49</v>
      </c>
      <c r="M37" s="153"/>
      <c r="N37" s="149">
        <f t="shared" si="8"/>
        <v>-2977</v>
      </c>
      <c r="O37" s="67">
        <f t="shared" si="2"/>
        <v>2298.9338709679282</v>
      </c>
      <c r="P37" s="7">
        <f t="shared" si="5"/>
        <v>71266.950000005774</v>
      </c>
      <c r="Q37" s="164">
        <f>Q36+N37-1</f>
        <v>163230.45000000019</v>
      </c>
      <c r="R37" s="29">
        <f t="shared" si="3"/>
        <v>101.39140322268409</v>
      </c>
      <c r="S37" s="5">
        <f>SUM($Q$7:$Q37)/T37+1</f>
        <v>167595.93387096791</v>
      </c>
      <c r="T37" s="18">
        <v>31</v>
      </c>
      <c r="U37" s="27"/>
      <c r="V37" s="137"/>
      <c r="W37" s="105">
        <v>-3212172</v>
      </c>
      <c r="X37" s="167"/>
      <c r="Y37" s="156">
        <f>Y36-K37-L37+3</f>
        <v>-3211772</v>
      </c>
      <c r="Z37" s="217"/>
      <c r="AA37" s="92"/>
      <c r="AD37" s="1"/>
      <c r="AE37" s="1"/>
    </row>
    <row r="38" spans="2:31">
      <c r="B38" s="116">
        <v>45171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2162.5437500001863</v>
      </c>
      <c r="P38" s="7">
        <f t="shared" si="5"/>
        <v>69201.40000000596</v>
      </c>
      <c r="Q38" s="164">
        <f t="shared" si="11"/>
        <v>163230.45000000019</v>
      </c>
      <c r="R38" s="29">
        <f t="shared" si="3"/>
        <v>101.30828559069802</v>
      </c>
      <c r="S38" s="5">
        <f>SUM($Q$7:$Q38)/T38</f>
        <v>167458.54375000019</v>
      </c>
      <c r="T38" s="18">
        <v>32</v>
      </c>
      <c r="U38" s="27"/>
      <c r="V38" s="137"/>
      <c r="W38" s="105">
        <v>-3212172</v>
      </c>
      <c r="X38" s="167"/>
      <c r="Y38" s="156">
        <f t="shared" si="7"/>
        <v>-3211772</v>
      </c>
      <c r="Z38" s="217"/>
      <c r="AD38" s="1"/>
      <c r="AE38" s="1"/>
    </row>
    <row r="39" spans="2:31">
      <c r="B39" s="116">
        <v>45172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2034.4196969698833</v>
      </c>
      <c r="P39" s="7">
        <f t="shared" si="5"/>
        <v>67135.850000006147</v>
      </c>
      <c r="Q39" s="164">
        <f t="shared" si="11"/>
        <v>163230.45000000019</v>
      </c>
      <c r="R39" s="29">
        <f t="shared" si="3"/>
        <v>101.23198365173378</v>
      </c>
      <c r="S39" s="5">
        <f>SUM($Q$7:$Q39)/T39+2</f>
        <v>167332.41969696988</v>
      </c>
      <c r="T39" s="18">
        <v>33</v>
      </c>
      <c r="U39" s="27"/>
      <c r="V39" s="137"/>
      <c r="W39" s="105">
        <v>-3212172</v>
      </c>
      <c r="X39" s="167"/>
      <c r="Y39" s="156">
        <f t="shared" si="7"/>
        <v>-3211772</v>
      </c>
      <c r="Z39" s="217"/>
      <c r="AD39" s="1"/>
      <c r="AE39" s="1"/>
    </row>
    <row r="40" spans="2:31">
      <c r="B40" s="116">
        <v>45173</v>
      </c>
      <c r="C40" s="14"/>
      <c r="D40" s="87"/>
      <c r="E40" s="87">
        <v>24</v>
      </c>
      <c r="F40" s="23">
        <v>-3651116</v>
      </c>
      <c r="G40" s="26">
        <f>D40+E40+F40-E37-F37</f>
        <v>6337</v>
      </c>
      <c r="H40" s="132">
        <v>300</v>
      </c>
      <c r="I40" s="25">
        <v>-6100</v>
      </c>
      <c r="J40" s="25">
        <v>400</v>
      </c>
      <c r="K40" s="170">
        <f t="shared" si="9"/>
        <v>-5400</v>
      </c>
      <c r="L40" s="171">
        <v>-27</v>
      </c>
      <c r="M40" s="153"/>
      <c r="N40" s="149">
        <f t="shared" si="8"/>
        <v>910</v>
      </c>
      <c r="O40" s="67">
        <f t="shared" si="2"/>
        <v>1940.508823529598</v>
      </c>
      <c r="P40" s="7">
        <f t="shared" si="5"/>
        <v>65977.300000006333</v>
      </c>
      <c r="Q40" s="164">
        <f>Q39+N40-3</f>
        <v>164137.45000000019</v>
      </c>
      <c r="R40" s="29">
        <f t="shared" si="3"/>
        <v>101.1733549653528</v>
      </c>
      <c r="S40" s="5">
        <f>SUM($Q$7:$Q40)/T40-1</f>
        <v>167235.50882352958</v>
      </c>
      <c r="T40" s="18">
        <v>34</v>
      </c>
      <c r="U40" s="138">
        <f>B40</f>
        <v>45173</v>
      </c>
      <c r="V40" s="131">
        <v>1603.1</v>
      </c>
      <c r="W40" s="105">
        <v>-3206643</v>
      </c>
      <c r="X40" s="167">
        <f>AVERAGE(W40:W48)</f>
        <v>-3229359</v>
      </c>
      <c r="Y40" s="156">
        <f>Y39-K40-L40+2</f>
        <v>-3206343</v>
      </c>
      <c r="Z40" s="217">
        <f>AVERAGE(Y40:Y48)</f>
        <v>-3229059.222222222</v>
      </c>
      <c r="AD40" s="1"/>
      <c r="AE40" s="1"/>
    </row>
    <row r="41" spans="2:31">
      <c r="B41" s="116">
        <v>45174</v>
      </c>
      <c r="C41" s="14" t="str">
        <f t="shared" si="0"/>
        <v/>
      </c>
      <c r="D41" s="87"/>
      <c r="E41" s="87">
        <v>15</v>
      </c>
      <c r="F41" s="23">
        <v>-3651574</v>
      </c>
      <c r="G41" s="26">
        <f>D41+E41+F41-E40-F40</f>
        <v>-467</v>
      </c>
      <c r="H41" s="132">
        <v>300</v>
      </c>
      <c r="I41" s="25">
        <v>12700</v>
      </c>
      <c r="J41" s="25">
        <v>400</v>
      </c>
      <c r="K41" s="170">
        <f t="shared" si="9"/>
        <v>13400</v>
      </c>
      <c r="L41" s="171">
        <v>23</v>
      </c>
      <c r="M41" s="153"/>
      <c r="N41" s="149">
        <f t="shared" si="8"/>
        <v>12956</v>
      </c>
      <c r="O41" s="67">
        <f t="shared" si="2"/>
        <v>2222.0500000001862</v>
      </c>
      <c r="P41" s="7">
        <f t="shared" si="5"/>
        <v>77771.750000006519</v>
      </c>
      <c r="Q41" s="164">
        <f>Q40+N41-3</f>
        <v>177090.45000000019</v>
      </c>
      <c r="R41" s="29">
        <f t="shared" si="3"/>
        <v>101.34489037847267</v>
      </c>
      <c r="S41" s="5">
        <f>SUM($Q$7:$Q41)/T41+1</f>
        <v>167519.05000000019</v>
      </c>
      <c r="T41" s="18">
        <v>35</v>
      </c>
      <c r="U41" s="138">
        <f>B40+8</f>
        <v>45181</v>
      </c>
      <c r="V41" s="137"/>
      <c r="W41" s="105">
        <v>-3220066</v>
      </c>
      <c r="X41" s="167"/>
      <c r="Y41" s="156">
        <f t="shared" ref="Y41:Y55" si="12">Y40-K41-L41</f>
        <v>-3219766</v>
      </c>
      <c r="Z41" s="217"/>
      <c r="AD41" s="1"/>
      <c r="AE41" s="1"/>
    </row>
    <row r="42" spans="2:31">
      <c r="B42" s="116">
        <v>45175</v>
      </c>
      <c r="C42" s="14" t="str">
        <f t="shared" si="0"/>
        <v/>
      </c>
      <c r="D42" s="87">
        <f>-7036+3946</f>
        <v>-3090</v>
      </c>
      <c r="E42" s="87">
        <v>25</v>
      </c>
      <c r="F42" s="23">
        <v>-3663408</v>
      </c>
      <c r="G42" s="26">
        <f>D42+E42+F42-E41-F41</f>
        <v>-14914</v>
      </c>
      <c r="H42" s="132">
        <v>300</v>
      </c>
      <c r="I42" s="25">
        <v>4000</v>
      </c>
      <c r="J42" s="25">
        <v>400</v>
      </c>
      <c r="K42" s="170">
        <f t="shared" si="9"/>
        <v>4700</v>
      </c>
      <c r="L42" s="171">
        <v>28</v>
      </c>
      <c r="M42" s="153"/>
      <c r="N42" s="149">
        <f t="shared" si="8"/>
        <v>-10186</v>
      </c>
      <c r="O42" s="67">
        <f t="shared" si="2"/>
        <v>2205.0333333335197</v>
      </c>
      <c r="P42" s="7">
        <f t="shared" si="5"/>
        <v>79381.200000006706</v>
      </c>
      <c r="Q42" s="164">
        <f>Q41+N42+1</f>
        <v>166905.45000000019</v>
      </c>
      <c r="R42" s="29">
        <f t="shared" si="3"/>
        <v>101.33338576452759</v>
      </c>
      <c r="S42" s="5">
        <f>SUM($Q$7:$Q42)/T42-1</f>
        <v>167500.03333333353</v>
      </c>
      <c r="T42" s="18">
        <v>36</v>
      </c>
      <c r="U42" s="138"/>
      <c r="V42" s="137"/>
      <c r="W42" s="105">
        <v>-3224792</v>
      </c>
      <c r="X42" s="167"/>
      <c r="Y42" s="156">
        <f t="shared" si="12"/>
        <v>-3224494</v>
      </c>
      <c r="Z42" s="217"/>
      <c r="AD42" s="1"/>
      <c r="AE42" s="1"/>
    </row>
    <row r="43" spans="2:31">
      <c r="B43" s="116">
        <v>45176</v>
      </c>
      <c r="C43" s="14" t="str">
        <f t="shared" si="0"/>
        <v/>
      </c>
      <c r="D43" s="87"/>
      <c r="E43" s="87">
        <v>25</v>
      </c>
      <c r="F43" s="23">
        <v>-3670503</v>
      </c>
      <c r="G43" s="26">
        <f>D43+E43+F43-E42-F42</f>
        <v>-7095</v>
      </c>
      <c r="H43" s="132">
        <v>300</v>
      </c>
      <c r="I43" s="25">
        <v>5800</v>
      </c>
      <c r="J43" s="25">
        <v>400</v>
      </c>
      <c r="K43" s="170">
        <f t="shared" si="9"/>
        <v>6500</v>
      </c>
      <c r="L43" s="171">
        <v>45</v>
      </c>
      <c r="M43" s="153"/>
      <c r="N43" s="149">
        <f t="shared" si="8"/>
        <v>-550</v>
      </c>
      <c r="O43" s="67">
        <f t="shared" si="2"/>
        <v>2174.1256756758621</v>
      </c>
      <c r="P43" s="7">
        <f t="shared" si="5"/>
        <v>80442.650000006892</v>
      </c>
      <c r="Q43" s="164">
        <f>Q42+N43+2</f>
        <v>166357.45000000019</v>
      </c>
      <c r="R43" s="29">
        <f t="shared" si="3"/>
        <v>101.25842469005654</v>
      </c>
      <c r="S43" s="5">
        <f>SUM($Q$7:$Q43)/T43-94</f>
        <v>167376.12567567587</v>
      </c>
      <c r="T43" s="18">
        <v>37</v>
      </c>
      <c r="U43" s="138"/>
      <c r="V43" s="137"/>
      <c r="W43" s="105">
        <v>-3231339</v>
      </c>
      <c r="X43" s="167"/>
      <c r="Y43" s="156">
        <f t="shared" si="12"/>
        <v>-3231039</v>
      </c>
      <c r="Z43" s="217"/>
      <c r="AD43" s="1"/>
      <c r="AE43" s="1"/>
    </row>
    <row r="44" spans="2:31">
      <c r="B44" s="116">
        <v>45177</v>
      </c>
      <c r="C44" s="14" t="str">
        <f t="shared" si="0"/>
        <v/>
      </c>
      <c r="D44" s="87"/>
      <c r="E44" s="87">
        <v>25</v>
      </c>
      <c r="F44" s="23">
        <v>-3682380</v>
      </c>
      <c r="G44" s="26">
        <f>D44+E44+F44-E43-F43</f>
        <v>-11877</v>
      </c>
      <c r="H44" s="132">
        <v>300</v>
      </c>
      <c r="I44" s="25">
        <v>4100</v>
      </c>
      <c r="J44" s="25">
        <v>200</v>
      </c>
      <c r="K44" s="170">
        <f t="shared" si="9"/>
        <v>4600</v>
      </c>
      <c r="L44" s="171">
        <v>12</v>
      </c>
      <c r="M44" s="153"/>
      <c r="N44" s="149">
        <f t="shared" si="8"/>
        <v>-7265</v>
      </c>
      <c r="O44" s="67">
        <f t="shared" si="2"/>
        <v>1953.6342105265021</v>
      </c>
      <c r="P44" s="7">
        <f t="shared" si="5"/>
        <v>74238.100000007078</v>
      </c>
      <c r="Q44" s="164">
        <f>Q43+N44-1</f>
        <v>159091.45000000019</v>
      </c>
      <c r="R44" s="29">
        <f t="shared" si="3"/>
        <v>101.18250545114613</v>
      </c>
      <c r="S44" s="5">
        <f>SUM($Q$7:$Q44)/T44+1</f>
        <v>167250.63421052651</v>
      </c>
      <c r="T44" s="18">
        <v>38</v>
      </c>
      <c r="U44" s="138"/>
      <c r="V44" s="137"/>
      <c r="W44" s="105">
        <v>-3235950</v>
      </c>
      <c r="X44" s="167"/>
      <c r="Y44" s="156">
        <f>Y43-K44-L44+1</f>
        <v>-3235650</v>
      </c>
      <c r="Z44" s="217"/>
      <c r="AD44" s="1"/>
      <c r="AE44" s="1"/>
    </row>
    <row r="45" spans="2:31">
      <c r="B45" s="116">
        <v>45178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1744.4500000001863</v>
      </c>
      <c r="P45" s="7">
        <f t="shared" si="5"/>
        <v>68033.550000007264</v>
      </c>
      <c r="Q45" s="164">
        <f t="shared" ref="Q45:Q46" si="13">Q44+N45</f>
        <v>159091.45000000019</v>
      </c>
      <c r="R45" s="29">
        <f t="shared" si="3"/>
        <v>101.0559541670701</v>
      </c>
      <c r="S45" s="5">
        <f>SUM($Q$7:$Q45)/T45+1</f>
        <v>167041.45000000019</v>
      </c>
      <c r="T45" s="18">
        <v>39</v>
      </c>
      <c r="U45" s="138"/>
      <c r="V45" s="137"/>
      <c r="W45" s="105">
        <v>-3235950</v>
      </c>
      <c r="X45" s="167"/>
      <c r="Y45" s="156">
        <f t="shared" si="12"/>
        <v>-3235650</v>
      </c>
      <c r="Z45" s="217"/>
      <c r="AD45" s="1"/>
      <c r="AE45" s="1"/>
    </row>
    <row r="46" spans="2:31">
      <c r="B46" s="116">
        <v>45179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1545.7250000001864</v>
      </c>
      <c r="P46" s="7">
        <f t="shared" si="5"/>
        <v>61829.000000007451</v>
      </c>
      <c r="Q46" s="164">
        <f t="shared" si="13"/>
        <v>159091.45000000019</v>
      </c>
      <c r="R46" s="29">
        <f t="shared" si="3"/>
        <v>100.93573044719786</v>
      </c>
      <c r="S46" s="5">
        <f>SUM($Q$7:$Q46)/T46+1</f>
        <v>166842.72500000018</v>
      </c>
      <c r="T46" s="18">
        <v>40</v>
      </c>
      <c r="U46" s="138"/>
      <c r="V46" s="137"/>
      <c r="W46" s="105">
        <v>-3235950</v>
      </c>
      <c r="X46" s="167"/>
      <c r="Y46" s="156">
        <f t="shared" si="12"/>
        <v>-3235650</v>
      </c>
      <c r="Z46" s="217"/>
      <c r="AD46" s="1"/>
      <c r="AE46" s="1"/>
    </row>
    <row r="47" spans="2:31">
      <c r="B47" s="116">
        <v>45180</v>
      </c>
      <c r="C47" s="14"/>
      <c r="D47" s="87"/>
      <c r="E47" s="87">
        <v>15</v>
      </c>
      <c r="F47" s="23">
        <v>-3667673</v>
      </c>
      <c r="G47" s="26">
        <f>D47+E47+F47-E44-F44</f>
        <v>14697</v>
      </c>
      <c r="H47" s="132">
        <v>300</v>
      </c>
      <c r="I47" s="25">
        <v>-200</v>
      </c>
      <c r="J47" s="25">
        <v>400</v>
      </c>
      <c r="K47" s="170">
        <f t="shared" si="9"/>
        <v>500</v>
      </c>
      <c r="L47" s="171">
        <v>-7</v>
      </c>
      <c r="M47" s="153"/>
      <c r="N47" s="149">
        <f t="shared" si="8"/>
        <v>15190</v>
      </c>
      <c r="O47" s="67">
        <f t="shared" si="2"/>
        <v>1727.2060975611619</v>
      </c>
      <c r="P47" s="7">
        <f t="shared" si="5"/>
        <v>70815.450000007637</v>
      </c>
      <c r="Q47" s="164">
        <f>Q46+N47+1</f>
        <v>174282.45000000019</v>
      </c>
      <c r="R47" s="29">
        <f t="shared" si="3"/>
        <v>109.79528004159882</v>
      </c>
      <c r="S47" s="5">
        <f>SUM($Q$7:$Q47)/T47+1+14465-2</f>
        <v>181487.20609756117</v>
      </c>
      <c r="T47" s="18">
        <v>41</v>
      </c>
      <c r="U47" s="138">
        <f>B47</f>
        <v>45180</v>
      </c>
      <c r="V47" s="137">
        <v>1594.6</v>
      </c>
      <c r="W47" s="105">
        <v>-3236443</v>
      </c>
      <c r="X47" s="167">
        <f>AVERAGE(W47:W55)</f>
        <v>-3222714.111111111</v>
      </c>
      <c r="Y47" s="156">
        <f t="shared" si="12"/>
        <v>-3236143</v>
      </c>
      <c r="Z47" s="217">
        <f>AVERAGE(Y47:Y48)</f>
        <v>-3236470.5</v>
      </c>
      <c r="AD47" s="1"/>
      <c r="AE47" s="1"/>
    </row>
    <row r="48" spans="2:31">
      <c r="B48" s="116">
        <v>45181</v>
      </c>
      <c r="C48" s="14" t="str">
        <f t="shared" si="0"/>
        <v/>
      </c>
      <c r="D48" s="87"/>
      <c r="E48" s="87">
        <v>1005</v>
      </c>
      <c r="F48" s="23">
        <v>-3668294</v>
      </c>
      <c r="G48" s="26">
        <f>D48+E48+F48-E47-F47</f>
        <v>369</v>
      </c>
      <c r="H48" s="132">
        <v>300</v>
      </c>
      <c r="I48" s="25">
        <v>0</v>
      </c>
      <c r="J48" s="25">
        <v>400</v>
      </c>
      <c r="K48" s="170">
        <f t="shared" si="9"/>
        <v>700</v>
      </c>
      <c r="L48" s="171">
        <v>-44</v>
      </c>
      <c r="M48" s="153"/>
      <c r="N48" s="149">
        <f t="shared" si="8"/>
        <v>1025</v>
      </c>
      <c r="O48" s="67">
        <f t="shared" si="2"/>
        <v>1924.4023809525672</v>
      </c>
      <c r="P48" s="7">
        <f t="shared" si="5"/>
        <v>80824.900000007823</v>
      </c>
      <c r="Q48" s="164">
        <f>Q47+N48-2</f>
        <v>175305.45000000019</v>
      </c>
      <c r="R48" s="29">
        <f t="shared" si="3"/>
        <v>101.29307568298842</v>
      </c>
      <c r="S48" s="5">
        <f>SUM($Q$7:$Q48)/T48+213</f>
        <v>167433.40238095255</v>
      </c>
      <c r="T48" s="18">
        <v>42</v>
      </c>
      <c r="U48" s="138">
        <f>B47+8</f>
        <v>45188</v>
      </c>
      <c r="V48" s="137"/>
      <c r="W48" s="105">
        <v>-3237098</v>
      </c>
      <c r="X48" s="167"/>
      <c r="Y48" s="156">
        <f>Y47-K48-L48+1</f>
        <v>-3236798</v>
      </c>
      <c r="Z48" s="217"/>
      <c r="AD48" s="1"/>
      <c r="AE48" s="1"/>
    </row>
    <row r="49" spans="2:31">
      <c r="B49" s="116">
        <v>45182</v>
      </c>
      <c r="C49" s="14" t="str">
        <f t="shared" si="0"/>
        <v/>
      </c>
      <c r="D49" s="87">
        <f>-3946+3966</f>
        <v>20</v>
      </c>
      <c r="E49" s="87">
        <v>70</v>
      </c>
      <c r="F49" s="23">
        <v>-3677256</v>
      </c>
      <c r="G49" s="26">
        <f>D49+E49+F49-E48-F48</f>
        <v>-9877</v>
      </c>
      <c r="H49" s="132">
        <v>300</v>
      </c>
      <c r="I49" s="25">
        <v>2500</v>
      </c>
      <c r="J49" s="25">
        <v>400</v>
      </c>
      <c r="K49" s="170">
        <f t="shared" si="9"/>
        <v>3200</v>
      </c>
      <c r="L49" s="171">
        <v>29</v>
      </c>
      <c r="M49" s="153"/>
      <c r="N49" s="149">
        <f t="shared" si="8"/>
        <v>-6648</v>
      </c>
      <c r="O49" s="67">
        <f t="shared" si="2"/>
        <v>1957.822093023442</v>
      </c>
      <c r="P49" s="7">
        <f t="shared" si="5"/>
        <v>84186.350000008009</v>
      </c>
      <c r="Q49" s="164">
        <f>Q48+N49</f>
        <v>168657.45000000019</v>
      </c>
      <c r="R49" s="29">
        <f t="shared" si="3"/>
        <v>101.3132937838928</v>
      </c>
      <c r="S49" s="5">
        <f>SUM($Q$7:$Q49)/T49+213</f>
        <v>167466.82209302345</v>
      </c>
      <c r="T49" s="18">
        <v>43</v>
      </c>
      <c r="U49" s="138"/>
      <c r="V49" s="137"/>
      <c r="W49" s="105">
        <v>-3240326</v>
      </c>
      <c r="X49" s="167"/>
      <c r="Y49" s="156">
        <f t="shared" si="12"/>
        <v>-3240027</v>
      </c>
      <c r="Z49" s="217"/>
      <c r="AD49" s="1"/>
      <c r="AE49" s="1"/>
    </row>
    <row r="50" spans="2:31">
      <c r="B50" s="116">
        <v>45183</v>
      </c>
      <c r="C50" s="14" t="str">
        <f t="shared" si="0"/>
        <v/>
      </c>
      <c r="D50" s="87"/>
      <c r="E50" s="87">
        <v>376</v>
      </c>
      <c r="F50" s="23">
        <v>-3639149</v>
      </c>
      <c r="G50" s="26">
        <f>D50+E50+F50-E49-F49</f>
        <v>38413</v>
      </c>
      <c r="H50" s="132">
        <v>300</v>
      </c>
      <c r="I50" s="25">
        <v>-18300</v>
      </c>
      <c r="J50" s="25">
        <v>300</v>
      </c>
      <c r="K50" s="170">
        <f t="shared" si="9"/>
        <v>-17700</v>
      </c>
      <c r="L50" s="171">
        <v>-48</v>
      </c>
      <c r="M50" s="153"/>
      <c r="N50" s="149">
        <f t="shared" si="8"/>
        <v>20665</v>
      </c>
      <c r="O50" s="67">
        <f t="shared" si="2"/>
        <v>2459.3363636365498</v>
      </c>
      <c r="P50" s="7">
        <f t="shared" si="5"/>
        <v>108210.8000000082</v>
      </c>
      <c r="Q50" s="164">
        <f t="shared" ref="Q50" si="14">Q49+N50-2</f>
        <v>189320.45000000019</v>
      </c>
      <c r="R50" s="29">
        <f t="shared" si="3"/>
        <v>101.61669753874052</v>
      </c>
      <c r="S50" s="5">
        <f>SUM($Q$7:$Q50)/T50+213</f>
        <v>167968.33636363654</v>
      </c>
      <c r="T50" s="18">
        <v>44</v>
      </c>
      <c r="U50" s="138"/>
      <c r="V50" s="137"/>
      <c r="W50" s="105">
        <v>-3222577</v>
      </c>
      <c r="X50" s="167"/>
      <c r="Y50" s="156">
        <f>Y49-K50-L50+2</f>
        <v>-3222277</v>
      </c>
      <c r="Z50" s="217"/>
      <c r="AD50" s="1"/>
      <c r="AE50" s="1"/>
    </row>
    <row r="51" spans="2:31">
      <c r="B51" s="116">
        <v>45184</v>
      </c>
      <c r="C51" s="14" t="str">
        <f t="shared" si="0"/>
        <v/>
      </c>
      <c r="D51" s="87"/>
      <c r="E51" s="87">
        <v>44</v>
      </c>
      <c r="F51" s="23">
        <v>-3589893</v>
      </c>
      <c r="G51" s="26">
        <f>D51+E51+F51-E50-F50</f>
        <v>48924</v>
      </c>
      <c r="H51" s="132">
        <v>2800</v>
      </c>
      <c r="I51" s="25">
        <v>-18400</v>
      </c>
      <c r="J51" s="25">
        <v>300</v>
      </c>
      <c r="K51" s="170">
        <f t="shared" si="9"/>
        <v>-15300</v>
      </c>
      <c r="L51" s="171">
        <v>48</v>
      </c>
      <c r="M51" s="153"/>
      <c r="N51" s="149">
        <f t="shared" si="8"/>
        <v>33672</v>
      </c>
      <c r="O51" s="67">
        <f t="shared" si="2"/>
        <v>3686.8055555557416</v>
      </c>
      <c r="P51" s="7">
        <f t="shared" si="5"/>
        <v>165906.25000000838</v>
      </c>
      <c r="Q51" s="164">
        <f>Q50+N51-1</f>
        <v>222991.45000000019</v>
      </c>
      <c r="R51" s="29">
        <f t="shared" si="3"/>
        <v>102.35928610223826</v>
      </c>
      <c r="S51" s="5">
        <f>SUM($Q$7:$Q51)/T51+213</f>
        <v>169195.80555555574</v>
      </c>
      <c r="T51" s="18">
        <v>45</v>
      </c>
      <c r="U51" s="138"/>
      <c r="V51" s="137"/>
      <c r="W51" s="105">
        <f>-3207325+1</f>
        <v>-3207324</v>
      </c>
      <c r="X51" s="167"/>
      <c r="Y51" s="156">
        <f>Y50-K51-L51+1</f>
        <v>-3207024</v>
      </c>
      <c r="Z51" s="217"/>
      <c r="AD51" s="1"/>
      <c r="AE51" s="1"/>
    </row>
    <row r="52" spans="2:31">
      <c r="B52" s="116">
        <v>45185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>
        <f t="shared" si="9"/>
        <v>0</v>
      </c>
      <c r="L52" s="171"/>
      <c r="M52" s="153"/>
      <c r="N52" s="149"/>
      <c r="O52" s="67">
        <f t="shared" si="2"/>
        <v>4860.9065217393163</v>
      </c>
      <c r="P52" s="7">
        <f t="shared" si="5"/>
        <v>223601.70000000857</v>
      </c>
      <c r="Q52" s="164">
        <f t="shared" ref="Q52:Q53" si="15">Q51+N52</f>
        <v>222991.45000000019</v>
      </c>
      <c r="R52" s="29">
        <f t="shared" si="3"/>
        <v>103.06958820645346</v>
      </c>
      <c r="S52" s="5">
        <f>SUM($Q$7:$Q52)/T52+213</f>
        <v>170369.90652173932</v>
      </c>
      <c r="T52" s="18">
        <v>46</v>
      </c>
      <c r="U52" s="138"/>
      <c r="V52" s="137"/>
      <c r="W52" s="105">
        <f t="shared" ref="W52:W53" si="16">-3207325+1</f>
        <v>-3207324</v>
      </c>
      <c r="X52" s="167"/>
      <c r="Y52" s="156">
        <f t="shared" si="12"/>
        <v>-3207024</v>
      </c>
      <c r="Z52" s="217"/>
      <c r="AD52" s="1"/>
      <c r="AE52" s="1"/>
    </row>
    <row r="53" spans="2:31">
      <c r="B53" s="116">
        <v>45186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>
        <f t="shared" si="9"/>
        <v>0</v>
      </c>
      <c r="L53" s="171"/>
      <c r="M53" s="153"/>
      <c r="N53" s="149"/>
      <c r="O53" s="67">
        <f t="shared" si="2"/>
        <v>5985.0457446810369</v>
      </c>
      <c r="P53" s="7">
        <f t="shared" si="5"/>
        <v>281297.15000000875</v>
      </c>
      <c r="Q53" s="164">
        <f t="shared" si="15"/>
        <v>222991.45000000019</v>
      </c>
      <c r="R53" s="29">
        <f t="shared" si="3"/>
        <v>103.74966468921269</v>
      </c>
      <c r="S53" s="5">
        <f>SUM($Q$7:$Q53)/T53+213</f>
        <v>171494.04574468103</v>
      </c>
      <c r="T53" s="18">
        <v>47</v>
      </c>
      <c r="U53" s="138"/>
      <c r="V53" s="137"/>
      <c r="W53" s="105">
        <f t="shared" si="16"/>
        <v>-3207324</v>
      </c>
      <c r="X53" s="167"/>
      <c r="Y53" s="156">
        <f t="shared" si="12"/>
        <v>-3207024</v>
      </c>
      <c r="Z53" s="217"/>
      <c r="AD53" s="1"/>
      <c r="AE53" s="1"/>
    </row>
    <row r="54" spans="2:31">
      <c r="B54" s="116">
        <v>45187</v>
      </c>
      <c r="C54" s="14" t="str">
        <f t="shared" si="0"/>
        <v/>
      </c>
      <c r="D54" s="87"/>
      <c r="E54" s="87">
        <v>10</v>
      </c>
      <c r="F54" s="23">
        <v>-3554782</v>
      </c>
      <c r="G54" s="26">
        <f>D54+E54+F54-E51-F51</f>
        <v>35077</v>
      </c>
      <c r="H54" s="132">
        <v>300</v>
      </c>
      <c r="I54" s="25">
        <v>14000</v>
      </c>
      <c r="J54" s="25">
        <v>700</v>
      </c>
      <c r="K54" s="170">
        <f t="shared" si="9"/>
        <v>15000</v>
      </c>
      <c r="L54" s="171">
        <v>-21</v>
      </c>
      <c r="M54" s="153"/>
      <c r="N54" s="149">
        <f t="shared" si="8"/>
        <v>50056</v>
      </c>
      <c r="O54" s="67">
        <f t="shared" si="2"/>
        <v>8105.2000000001863</v>
      </c>
      <c r="P54" s="7">
        <f t="shared" si="5"/>
        <v>389049.60000000894</v>
      </c>
      <c r="Q54" s="164">
        <f>Q53+N54+1</f>
        <v>273048.45000000019</v>
      </c>
      <c r="R54" s="29">
        <f t="shared" si="3"/>
        <v>105.03230568192829</v>
      </c>
      <c r="S54" s="5">
        <f>SUM($Q$7:$Q54)/T54+213</f>
        <v>173614.20000000019</v>
      </c>
      <c r="T54" s="18">
        <v>48</v>
      </c>
      <c r="U54" s="138"/>
      <c r="V54" s="137"/>
      <c r="W54" s="105">
        <v>-3222303</v>
      </c>
      <c r="X54" s="167"/>
      <c r="Y54" s="156">
        <f t="shared" si="12"/>
        <v>-3222003</v>
      </c>
      <c r="Z54" s="217"/>
      <c r="AD54" s="1"/>
      <c r="AE54" s="1"/>
    </row>
    <row r="55" spans="2:31">
      <c r="B55" s="116">
        <v>45188</v>
      </c>
      <c r="C55" s="14" t="str">
        <f t="shared" si="0"/>
        <v/>
      </c>
      <c r="D55" s="87"/>
      <c r="E55" s="87">
        <v>0</v>
      </c>
      <c r="F55" s="23">
        <v>-3616681</v>
      </c>
      <c r="G55" s="26">
        <f>D55+E55+F55-E54-F54</f>
        <v>-61909</v>
      </c>
      <c r="H55" s="132">
        <v>300</v>
      </c>
      <c r="I55" s="25">
        <v>400</v>
      </c>
      <c r="J55" s="25">
        <v>700</v>
      </c>
      <c r="K55" s="170">
        <f t="shared" si="9"/>
        <v>1400</v>
      </c>
      <c r="L55" s="171">
        <v>5</v>
      </c>
      <c r="M55" s="153"/>
      <c r="N55" s="149">
        <f t="shared" si="8"/>
        <v>-60504</v>
      </c>
      <c r="O55" s="67">
        <f t="shared" si="2"/>
        <v>8904.0214285716156</v>
      </c>
      <c r="P55" s="7">
        <f t="shared" si="5"/>
        <v>436297.05000000913</v>
      </c>
      <c r="Q55" s="164">
        <f>Q54+N55-1</f>
        <v>212543.45000000019</v>
      </c>
      <c r="R55" s="29">
        <f t="shared" si="3"/>
        <v>105.38671318638781</v>
      </c>
      <c r="S55" s="5">
        <f>SUM($Q$7:$Q55)/T55</f>
        <v>174200.02142857161</v>
      </c>
      <c r="T55" s="18">
        <v>49</v>
      </c>
      <c r="U55" s="138"/>
      <c r="V55" s="137"/>
      <c r="W55" s="105">
        <v>-3223708</v>
      </c>
      <c r="X55" s="167"/>
      <c r="Y55" s="156">
        <f t="shared" si="12"/>
        <v>-3223408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2023 '!Q48</f>
        <v>195365.45000000019</v>
      </c>
    </row>
    <row r="60" spans="2:31">
      <c r="D60" s="138" t="s">
        <v>4</v>
      </c>
      <c r="E60" s="139"/>
      <c r="F60" s="143"/>
      <c r="G60" s="91">
        <f>'JULY 2023 '!E48</f>
        <v>37</v>
      </c>
    </row>
    <row r="61" spans="2:31">
      <c r="D61" s="138" t="s">
        <v>60</v>
      </c>
      <c r="E61" s="144"/>
      <c r="F61" s="143"/>
      <c r="G61" s="91">
        <f>'JULY 2023 '!F48</f>
        <v>-3615944</v>
      </c>
    </row>
    <row r="62" spans="2:31" ht="12.75" thickBot="1">
      <c r="D62" s="140" t="s">
        <v>46</v>
      </c>
      <c r="E62" s="145"/>
      <c r="F62" s="146"/>
      <c r="G62" s="158">
        <f>'JULY 2023 '!W48</f>
        <v>-3199801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D196-105F-423D-B5DB-92A7EBD1AFA3}">
  <sheetPr>
    <pageSetUpPr fitToPage="1"/>
  </sheetPr>
  <dimension ref="B1:IU65506"/>
  <sheetViews>
    <sheetView zoomScale="120" zoomScaleNormal="12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H12" sqref="H12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164548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45189</v>
      </c>
      <c r="C7" s="196" t="str">
        <f t="shared" ref="C7:C48" si="0">IF(OR(WEEKDAY(B7)=1,WEEKDAY(B7)=7),"F","")</f>
        <v/>
      </c>
      <c r="D7" s="197">
        <f>-3966+4033</f>
        <v>67</v>
      </c>
      <c r="E7" s="197">
        <v>20</v>
      </c>
      <c r="F7" s="198">
        <v>-3504449</v>
      </c>
      <c r="G7" s="199">
        <f>D7+E7+F7-G53-G54</f>
        <v>112319</v>
      </c>
      <c r="H7" s="132">
        <v>300</v>
      </c>
      <c r="I7" s="63">
        <v>-8400</v>
      </c>
      <c r="J7" s="63">
        <v>400</v>
      </c>
      <c r="K7" s="170">
        <f t="shared" ref="K7:K9" si="1">+H7+I7+J7</f>
        <v>-7700</v>
      </c>
      <c r="L7" s="169">
        <v>7</v>
      </c>
      <c r="M7" s="203"/>
      <c r="N7" s="204">
        <f>L7+K7+G7+M7</f>
        <v>104626</v>
      </c>
      <c r="O7" s="205">
        <f t="shared" ref="O7:O48" si="2">P7/T7</f>
        <v>152921.45000000019</v>
      </c>
      <c r="P7" s="206">
        <f>(+$Q7-$Q$3)</f>
        <v>152921.45000000019</v>
      </c>
      <c r="Q7" s="207">
        <f>G52+N7+300</f>
        <v>317469.45000000019</v>
      </c>
      <c r="R7" s="208">
        <f t="shared" ref="R7:R48" si="3">$S7/$Q$3*100</f>
        <v>192.934250188395</v>
      </c>
      <c r="S7" s="209">
        <f>$Q7</f>
        <v>317469.45000000019</v>
      </c>
      <c r="T7" s="210">
        <v>1</v>
      </c>
      <c r="U7" s="211">
        <f>B7</f>
        <v>45189</v>
      </c>
      <c r="V7" s="212">
        <v>1591</v>
      </c>
      <c r="W7" s="213">
        <v>-3216015</v>
      </c>
      <c r="X7" s="214">
        <f>AVERAGE(W7:W11)</f>
        <v>-3215557.8</v>
      </c>
      <c r="Y7" s="215">
        <f>G55-K7-L7</f>
        <v>-3216015</v>
      </c>
      <c r="Z7" s="216">
        <f>AVERAGE(Y7:Y13)</f>
        <v>-3217670.2857142859</v>
      </c>
      <c r="AA7" s="92"/>
    </row>
    <row r="8" spans="2:255">
      <c r="B8" s="116">
        <v>45190</v>
      </c>
      <c r="C8" s="14"/>
      <c r="D8" s="87"/>
      <c r="E8" s="128">
        <v>20</v>
      </c>
      <c r="F8" s="162">
        <v>-3601853</v>
      </c>
      <c r="G8" s="26">
        <f>D8+E8+F8-E7-F7</f>
        <v>-97404</v>
      </c>
      <c r="H8" s="132">
        <v>300</v>
      </c>
      <c r="I8" s="63">
        <v>-7200</v>
      </c>
      <c r="J8" s="63">
        <v>400</v>
      </c>
      <c r="K8" s="170">
        <f t="shared" si="1"/>
        <v>-6500</v>
      </c>
      <c r="L8" s="171">
        <v>-37</v>
      </c>
      <c r="M8" s="153"/>
      <c r="N8" s="149">
        <f>L8+K8+G8+M8</f>
        <v>-103941</v>
      </c>
      <c r="O8" s="67">
        <f t="shared" si="2"/>
        <v>100951.45000000019</v>
      </c>
      <c r="P8" s="163">
        <f>(IF($Q8&lt;0,-$Q$3+P7,($Q8-$Q$3)+P7))</f>
        <v>201902.90000000037</v>
      </c>
      <c r="Q8" s="164">
        <f>Q7+N8+1</f>
        <v>213529.45000000019</v>
      </c>
      <c r="R8" s="29">
        <f t="shared" si="3"/>
        <v>161.35076087220762</v>
      </c>
      <c r="S8" s="165">
        <f>SUM($Q$7:$Q8)/T8</f>
        <v>265499.45000000019</v>
      </c>
      <c r="T8" s="166">
        <v>2</v>
      </c>
      <c r="U8" s="138">
        <f>B7+6</f>
        <v>45195</v>
      </c>
      <c r="V8" s="131"/>
      <c r="W8" s="105">
        <v>-3209478</v>
      </c>
      <c r="X8" s="167"/>
      <c r="Y8" s="156">
        <f>Y7-K8-L8</f>
        <v>-3209478</v>
      </c>
      <c r="Z8" s="217"/>
      <c r="AA8" s="92"/>
    </row>
    <row r="9" spans="2:255">
      <c r="B9" s="116">
        <v>45191</v>
      </c>
      <c r="C9" s="14" t="str">
        <f t="shared" si="0"/>
        <v/>
      </c>
      <c r="D9" s="87"/>
      <c r="E9" s="87">
        <v>40</v>
      </c>
      <c r="F9" s="23">
        <v>-3660788</v>
      </c>
      <c r="G9" s="26">
        <f>D9+E9+F9-E8-F8</f>
        <v>-58915</v>
      </c>
      <c r="H9" s="132">
        <v>2800</v>
      </c>
      <c r="I9" s="63">
        <v>4900</v>
      </c>
      <c r="J9" s="63">
        <v>300</v>
      </c>
      <c r="K9" s="170">
        <f t="shared" si="1"/>
        <v>8000</v>
      </c>
      <c r="L9" s="171">
        <v>-45</v>
      </c>
      <c r="M9" s="153"/>
      <c r="N9" s="149">
        <f>L9+K9+G9+M9</f>
        <v>-50960</v>
      </c>
      <c r="O9" s="67">
        <f t="shared" si="2"/>
        <v>66641.116666666858</v>
      </c>
      <c r="P9" s="163">
        <f t="shared" ref="P9" si="4">(IF($Q9&lt;0,-$Q$3+P8,($Q9-$Q$3)+P8))</f>
        <v>199923.35000000056</v>
      </c>
      <c r="Q9" s="164">
        <f>Q8+N9-1</f>
        <v>162568.45000000019</v>
      </c>
      <c r="R9" s="29">
        <f t="shared" si="3"/>
        <v>140.50010736482173</v>
      </c>
      <c r="S9" s="5">
        <f>SUM($Q$7:$Q9)/T9+1</f>
        <v>231190.11666666684</v>
      </c>
      <c r="T9" s="17">
        <v>3</v>
      </c>
      <c r="U9" s="4"/>
      <c r="V9" s="131"/>
      <c r="W9" s="105">
        <v>-3217432</v>
      </c>
      <c r="X9" s="167"/>
      <c r="Y9" s="156">
        <f>Y8-K9-L9+1</f>
        <v>-3217432</v>
      </c>
      <c r="Z9" s="217"/>
      <c r="AA9" s="92"/>
    </row>
    <row r="10" spans="2:255">
      <c r="B10" s="116">
        <v>45192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49485.950000000186</v>
      </c>
      <c r="P10" s="163">
        <f>(IF($Q10&lt;0,-$Q$3+P9,($Q10-$Q$3)+P9))</f>
        <v>197943.80000000075</v>
      </c>
      <c r="Q10" s="164">
        <f>Q9+N10</f>
        <v>162568.45000000019</v>
      </c>
      <c r="R10" s="29">
        <f t="shared" si="3"/>
        <v>130.0732612976154</v>
      </c>
      <c r="S10" s="5">
        <f>SUM($Q$7:$Q10)/T10-1</f>
        <v>214032.95000000019</v>
      </c>
      <c r="T10" s="17">
        <v>4</v>
      </c>
      <c r="U10" s="4"/>
      <c r="V10" s="131"/>
      <c r="W10" s="105">
        <v>-3217432</v>
      </c>
      <c r="X10" s="167"/>
      <c r="Y10" s="156">
        <f>Y9-K10-L10</f>
        <v>-3217432</v>
      </c>
      <c r="Z10" s="217"/>
      <c r="AA10" s="92"/>
    </row>
    <row r="11" spans="2:255">
      <c r="B11" s="116">
        <v>45193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39192.850000000188</v>
      </c>
      <c r="P11" s="163">
        <f t="shared" ref="P11:P48" si="5">(IF($Q11&lt;0,-$Q$3+P10,($Q11-$Q$3)+P10))</f>
        <v>195964.25000000093</v>
      </c>
      <c r="Q11" s="164">
        <f t="shared" ref="Q11:Q18" si="6">Q10+N11</f>
        <v>162568.45000000019</v>
      </c>
      <c r="R11" s="29">
        <f t="shared" si="3"/>
        <v>123.81849065318337</v>
      </c>
      <c r="S11" s="5">
        <f>SUM($Q$7:$Q11)/T11</f>
        <v>203740.85000000018</v>
      </c>
      <c r="T11" s="17">
        <v>5</v>
      </c>
      <c r="U11" s="27"/>
      <c r="V11" s="134"/>
      <c r="W11" s="105">
        <v>-3217432</v>
      </c>
      <c r="X11" s="167"/>
      <c r="Y11" s="156">
        <f t="shared" ref="Y11:Y39" si="7">Y10-K11-L11</f>
        <v>-3217432</v>
      </c>
      <c r="Z11" s="217"/>
      <c r="AA11" s="92"/>
    </row>
    <row r="12" spans="2:255">
      <c r="B12" s="116">
        <v>45194</v>
      </c>
      <c r="C12" s="14"/>
      <c r="D12" s="87"/>
      <c r="E12" s="87">
        <v>50</v>
      </c>
      <c r="F12" s="23">
        <v>-3666956</v>
      </c>
      <c r="G12" s="26">
        <f>D12+E12+F12-E9-F9</f>
        <v>-6158</v>
      </c>
      <c r="H12" s="132">
        <v>300</v>
      </c>
      <c r="I12" s="63">
        <v>4700</v>
      </c>
      <c r="J12" s="63">
        <v>-200</v>
      </c>
      <c r="K12" s="170">
        <f>+H12+I12+J12</f>
        <v>4800</v>
      </c>
      <c r="L12" s="171">
        <v>-9</v>
      </c>
      <c r="M12" s="153"/>
      <c r="N12" s="149">
        <f t="shared" ref="N12:N48" si="8">L12+K12+G12+M12</f>
        <v>-1367</v>
      </c>
      <c r="O12" s="67">
        <f t="shared" si="2"/>
        <v>32102.950000000186</v>
      </c>
      <c r="P12" s="163">
        <f t="shared" si="5"/>
        <v>192617.70000000112</v>
      </c>
      <c r="Q12" s="164">
        <f>Q11+N12</f>
        <v>161201.45000000019</v>
      </c>
      <c r="R12" s="29">
        <f t="shared" si="3"/>
        <v>119.50977830177226</v>
      </c>
      <c r="S12" s="5">
        <f>SUM($Q$7:$Q12)/T12</f>
        <v>196650.95000000019</v>
      </c>
      <c r="T12" s="17">
        <v>6</v>
      </c>
      <c r="U12" s="138">
        <f>B12</f>
        <v>45194</v>
      </c>
      <c r="V12" s="310">
        <v>1591.8</v>
      </c>
      <c r="W12" s="105">
        <v>-3222223</v>
      </c>
      <c r="X12" s="167">
        <f>AVERAGE(W12:W20)</f>
        <v>-3188784.777777778</v>
      </c>
      <c r="Y12" s="156">
        <f>Y11-K12-L12</f>
        <v>-3222223</v>
      </c>
      <c r="Z12" s="217">
        <f>AVERAGE(Y12:Y20)</f>
        <v>-3188784.777777778</v>
      </c>
      <c r="AA12" s="92"/>
    </row>
    <row r="13" spans="2:255">
      <c r="B13" s="116">
        <v>45195</v>
      </c>
      <c r="C13" s="14"/>
      <c r="D13" s="87"/>
      <c r="E13" s="87">
        <v>70</v>
      </c>
      <c r="F13" s="23">
        <v>-3663964</v>
      </c>
      <c r="G13" s="26">
        <f>D13+E13+F13-E12-F12</f>
        <v>3012</v>
      </c>
      <c r="H13" s="132">
        <v>300</v>
      </c>
      <c r="I13" s="63">
        <v>1400</v>
      </c>
      <c r="J13" s="63">
        <v>-200</v>
      </c>
      <c r="K13" s="170">
        <f>+H13+I13+J13</f>
        <v>1500</v>
      </c>
      <c r="L13" s="171">
        <v>-44</v>
      </c>
      <c r="M13" s="153"/>
      <c r="N13" s="149">
        <f t="shared" si="8"/>
        <v>4468</v>
      </c>
      <c r="O13" s="67">
        <f t="shared" si="2"/>
        <v>27677.164285714472</v>
      </c>
      <c r="P13" s="163">
        <f t="shared" si="5"/>
        <v>193740.1500000013</v>
      </c>
      <c r="Q13" s="164">
        <f>Q12+N13+1</f>
        <v>165670.45000000019</v>
      </c>
      <c r="R13" s="29">
        <f t="shared" si="3"/>
        <v>116.82011588455312</v>
      </c>
      <c r="S13" s="5">
        <f>SUM($Q$7:$Q13)/T13</f>
        <v>192225.16428571448</v>
      </c>
      <c r="T13" s="17">
        <v>7</v>
      </c>
      <c r="U13" s="138">
        <f>B12+8</f>
        <v>45202</v>
      </c>
      <c r="V13" s="249"/>
      <c r="W13" s="105">
        <v>-3223680</v>
      </c>
      <c r="X13" s="167"/>
      <c r="Y13" s="156">
        <f>Y12-K13-L13-1</f>
        <v>-3223680</v>
      </c>
      <c r="Z13" s="217"/>
      <c r="AA13" s="92"/>
      <c r="AB13" s="92"/>
    </row>
    <row r="14" spans="2:255">
      <c r="B14" s="116">
        <v>45196</v>
      </c>
      <c r="C14" s="14"/>
      <c r="D14" s="87">
        <f>-66672-34231-4033+11351-68</f>
        <v>-93653</v>
      </c>
      <c r="E14" s="87">
        <v>139</v>
      </c>
      <c r="F14" s="23">
        <v>-3523562</v>
      </c>
      <c r="G14" s="26">
        <f>D14+E14+F14-E13-F13</f>
        <v>46818</v>
      </c>
      <c r="H14" s="132">
        <v>300</v>
      </c>
      <c r="I14" s="63">
        <v>-14400</v>
      </c>
      <c r="J14" s="63">
        <v>-300</v>
      </c>
      <c r="K14" s="170">
        <f t="shared" ref="K14:K48" si="9">+H14+I14+J14</f>
        <v>-14400</v>
      </c>
      <c r="L14" s="171">
        <v>-29</v>
      </c>
      <c r="M14" s="154"/>
      <c r="N14" s="149">
        <f>L14+K14+G14+M14</f>
        <v>32389</v>
      </c>
      <c r="O14" s="67">
        <f>P14/T14+1</f>
        <v>28407.450000000186</v>
      </c>
      <c r="P14" s="163">
        <f t="shared" si="5"/>
        <v>227251.60000000149</v>
      </c>
      <c r="Q14" s="164">
        <f>Q13+N14</f>
        <v>198059.45000000019</v>
      </c>
      <c r="R14" s="29">
        <f t="shared" si="3"/>
        <v>117.26332134088544</v>
      </c>
      <c r="S14" s="5">
        <f>SUM($Q$7:$Q14)/T14</f>
        <v>192954.45000000019</v>
      </c>
      <c r="T14" s="17">
        <v>8</v>
      </c>
      <c r="U14" s="4"/>
      <c r="V14" s="4"/>
      <c r="W14" s="105">
        <v>-3209251</v>
      </c>
      <c r="X14" s="167"/>
      <c r="Y14" s="156">
        <f>Y13-K14-L14</f>
        <v>-3209251</v>
      </c>
      <c r="Z14" s="217"/>
      <c r="AA14" s="92"/>
    </row>
    <row r="15" spans="2:255">
      <c r="B15" s="116">
        <v>45197</v>
      </c>
      <c r="C15" s="14" t="str">
        <f t="shared" si="0"/>
        <v/>
      </c>
      <c r="D15" s="87">
        <f>-4327+1903-30</f>
        <v>-2454</v>
      </c>
      <c r="E15" s="87">
        <v>0</v>
      </c>
      <c r="F15" s="23">
        <v>-3555594</v>
      </c>
      <c r="G15" s="26">
        <f>D15+E15+F15-E14-F14</f>
        <v>-34625</v>
      </c>
      <c r="H15" s="132">
        <v>300</v>
      </c>
      <c r="I15" s="63">
        <v>500</v>
      </c>
      <c r="J15" s="63">
        <v>-300</v>
      </c>
      <c r="K15" s="170">
        <f>+H15+I15+J15</f>
        <v>500</v>
      </c>
      <c r="L15" s="172">
        <v>-43</v>
      </c>
      <c r="M15" s="153"/>
      <c r="N15" s="149">
        <f>L15+K15+G15+M15</f>
        <v>-34168</v>
      </c>
      <c r="O15" s="67">
        <f t="shared" si="2"/>
        <v>25177.338888889077</v>
      </c>
      <c r="P15" s="7">
        <f t="shared" si="5"/>
        <v>226596.05000000168</v>
      </c>
      <c r="Q15" s="164">
        <f>Q14+N15+1</f>
        <v>163892.45000000019</v>
      </c>
      <c r="R15" s="29">
        <f t="shared" si="3"/>
        <v>115.30090848195607</v>
      </c>
      <c r="S15" s="5">
        <f>SUM($Q$7:$Q15)/T15</f>
        <v>189725.33888888906</v>
      </c>
      <c r="T15" s="17">
        <v>9</v>
      </c>
      <c r="U15" s="4"/>
      <c r="V15" s="4"/>
      <c r="W15" s="105">
        <v>-3209679</v>
      </c>
      <c r="X15" s="167"/>
      <c r="Y15" s="156">
        <f>Y14-K15-L15+29</f>
        <v>-3209679</v>
      </c>
      <c r="Z15" s="217"/>
      <c r="AA15" s="92"/>
      <c r="AB15" s="92"/>
    </row>
    <row r="16" spans="2:255" s="69" customFormat="1">
      <c r="B16" s="116">
        <v>45198</v>
      </c>
      <c r="C16" s="14"/>
      <c r="D16" s="129"/>
      <c r="E16" s="87">
        <v>0</v>
      </c>
      <c r="F16" s="23">
        <v>-3466971</v>
      </c>
      <c r="G16" s="26">
        <f>D16+E16+F16-E15-F15</f>
        <v>88623</v>
      </c>
      <c r="H16" s="132">
        <v>200</v>
      </c>
      <c r="I16" s="63">
        <v>-78600</v>
      </c>
      <c r="J16" s="63">
        <v>-300</v>
      </c>
      <c r="K16" s="170">
        <f t="shared" si="9"/>
        <v>-78700</v>
      </c>
      <c r="L16" s="172">
        <v>2</v>
      </c>
      <c r="M16" s="153"/>
      <c r="N16" s="152">
        <f>L16+K16+G16+M16</f>
        <v>9925</v>
      </c>
      <c r="O16" s="67">
        <f t="shared" si="2"/>
        <v>23586.550000000185</v>
      </c>
      <c r="P16" s="70">
        <f t="shared" si="5"/>
        <v>235865.50000000186</v>
      </c>
      <c r="Q16" s="164">
        <f>Q15+N16</f>
        <v>173817.45000000019</v>
      </c>
      <c r="R16" s="71">
        <f t="shared" si="3"/>
        <v>114.33414565962528</v>
      </c>
      <c r="S16" s="72">
        <f>SUM($Q$7:$Q16)/T16</f>
        <v>188134.55000000019</v>
      </c>
      <c r="T16" s="73">
        <v>10</v>
      </c>
      <c r="U16" s="218"/>
      <c r="V16" s="133"/>
      <c r="W16" s="105">
        <v>-3130981</v>
      </c>
      <c r="X16" s="167"/>
      <c r="Y16" s="156">
        <f>Y15-K16-L16</f>
        <v>-3130981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45199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22284.995454545642</v>
      </c>
      <c r="P17" s="7">
        <f t="shared" si="5"/>
        <v>245134.95000000205</v>
      </c>
      <c r="Q17" s="164">
        <f t="shared" si="6"/>
        <v>173817.45000000019</v>
      </c>
      <c r="R17" s="29">
        <f t="shared" si="3"/>
        <v>113.54315789590007</v>
      </c>
      <c r="S17" s="5">
        <f>SUM($Q$7:$Q17)/T17</f>
        <v>186832.99545454563</v>
      </c>
      <c r="T17" s="18">
        <v>11</v>
      </c>
      <c r="U17" s="27"/>
      <c r="V17" s="136"/>
      <c r="W17" s="105">
        <v>-3130981</v>
      </c>
      <c r="X17" s="167"/>
      <c r="Y17" s="156">
        <f t="shared" si="7"/>
        <v>-3130981</v>
      </c>
      <c r="Z17" s="217"/>
      <c r="AA17" s="92"/>
      <c r="AC17" s="92"/>
    </row>
    <row r="18" spans="2:31">
      <c r="B18" s="116">
        <v>45200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21200.366666666854</v>
      </c>
      <c r="P18" s="7">
        <f t="shared" si="5"/>
        <v>254404.40000000224</v>
      </c>
      <c r="Q18" s="164">
        <f t="shared" si="6"/>
        <v>173817.45000000019</v>
      </c>
      <c r="R18" s="29">
        <f t="shared" si="3"/>
        <v>112.88339370072372</v>
      </c>
      <c r="S18" s="5">
        <f>SUM($Q$7:$Q18)/T18-1</f>
        <v>185747.36666666684</v>
      </c>
      <c r="T18" s="18">
        <v>12</v>
      </c>
      <c r="U18" s="27"/>
      <c r="V18" s="136"/>
      <c r="W18" s="105">
        <v>-3130981</v>
      </c>
      <c r="X18" s="167"/>
      <c r="Y18" s="156">
        <f t="shared" si="7"/>
        <v>-3130981</v>
      </c>
      <c r="Z18" s="217"/>
      <c r="AA18" s="92"/>
    </row>
    <row r="19" spans="2:31">
      <c r="B19" s="116">
        <v>45201</v>
      </c>
      <c r="C19" s="14" t="str">
        <f t="shared" si="0"/>
        <v/>
      </c>
      <c r="D19" s="87"/>
      <c r="E19" s="87">
        <v>0</v>
      </c>
      <c r="F19" s="23">
        <v>-3566383</v>
      </c>
      <c r="G19" s="26">
        <f>D19+E19+F19-E16-F16</f>
        <v>-99412</v>
      </c>
      <c r="H19" s="132">
        <v>10300</v>
      </c>
      <c r="I19" s="63">
        <v>74700</v>
      </c>
      <c r="J19" s="63">
        <v>200</v>
      </c>
      <c r="K19" s="170">
        <f>+H19+I19+J19</f>
        <v>85200</v>
      </c>
      <c r="L19" s="171">
        <v>31</v>
      </c>
      <c r="M19" s="153"/>
      <c r="N19" s="149">
        <f t="shared" si="8"/>
        <v>-14181</v>
      </c>
      <c r="O19" s="67">
        <f t="shared" si="2"/>
        <v>19191.757692307878</v>
      </c>
      <c r="P19" s="7">
        <f t="shared" si="5"/>
        <v>249492.85000000242</v>
      </c>
      <c r="Q19" s="164">
        <f>Q18+N19</f>
        <v>159636.45000000019</v>
      </c>
      <c r="R19" s="29">
        <f t="shared" si="3"/>
        <v>111.66271099758605</v>
      </c>
      <c r="S19" s="5">
        <f>SUM($Q$7:$Q19)/T19-1</f>
        <v>183738.75769230787</v>
      </c>
      <c r="T19" s="18">
        <v>13</v>
      </c>
      <c r="U19" s="138">
        <f>B19</f>
        <v>45201</v>
      </c>
      <c r="V19" s="131">
        <v>1659.1</v>
      </c>
      <c r="W19" s="105">
        <v>-3216212</v>
      </c>
      <c r="X19" s="167">
        <f>AVERAGE(W20:W27)</f>
        <v>-3246686.875</v>
      </c>
      <c r="Y19" s="156">
        <f>Y18-K19-L19</f>
        <v>-3216212</v>
      </c>
      <c r="Z19" s="217">
        <f>AVERAGE(Y19:Y27)</f>
        <v>-3243300.777777778</v>
      </c>
      <c r="AA19" s="92"/>
      <c r="AD19" s="309"/>
    </row>
    <row r="20" spans="2:31">
      <c r="B20" s="116">
        <v>45202</v>
      </c>
      <c r="C20" s="14"/>
      <c r="D20" s="87"/>
      <c r="E20" s="87">
        <v>0</v>
      </c>
      <c r="F20" s="23">
        <v>-3540939</v>
      </c>
      <c r="G20" s="26">
        <f>D20+E20+F20-E19-F19</f>
        <v>25444</v>
      </c>
      <c r="H20" s="132">
        <v>300</v>
      </c>
      <c r="I20" s="63">
        <v>8500</v>
      </c>
      <c r="J20" s="63">
        <v>100</v>
      </c>
      <c r="K20" s="170">
        <f t="shared" si="9"/>
        <v>8900</v>
      </c>
      <c r="L20" s="171">
        <v>-36</v>
      </c>
      <c r="M20" s="153"/>
      <c r="N20" s="149">
        <f t="shared" si="8"/>
        <v>34308</v>
      </c>
      <c r="O20" s="67">
        <f t="shared" si="2"/>
        <v>19920.521428571614</v>
      </c>
      <c r="P20" s="7">
        <f t="shared" si="5"/>
        <v>278887.30000000261</v>
      </c>
      <c r="Q20" s="164">
        <f>Q19+N20-2</f>
        <v>193942.45000000019</v>
      </c>
      <c r="R20" s="29">
        <f t="shared" si="3"/>
        <v>112.10620696001871</v>
      </c>
      <c r="S20" s="5">
        <f>SUM($Q$7:$Q20)/T20</f>
        <v>184468.52142857161</v>
      </c>
      <c r="T20" s="18">
        <v>14</v>
      </c>
      <c r="U20" s="138">
        <f>B19+8</f>
        <v>45209</v>
      </c>
      <c r="V20" s="131"/>
      <c r="W20" s="105">
        <v>-3225075</v>
      </c>
      <c r="X20" s="167"/>
      <c r="Y20" s="156">
        <f>Y19-K20-L20+1</f>
        <v>-3225075</v>
      </c>
      <c r="Z20" s="217"/>
      <c r="AA20" s="92"/>
      <c r="AB20" s="92"/>
    </row>
    <row r="21" spans="2:31">
      <c r="B21" s="116">
        <v>45203</v>
      </c>
      <c r="C21" s="14" t="str">
        <f t="shared" si="0"/>
        <v/>
      </c>
      <c r="D21" s="87">
        <f>-11351+7797</f>
        <v>-3554</v>
      </c>
      <c r="E21" s="87">
        <v>1</v>
      </c>
      <c r="F21" s="23">
        <v>-3586392</v>
      </c>
      <c r="G21" s="26">
        <f>D21+E21+F21-E20-F20</f>
        <v>-49006</v>
      </c>
      <c r="H21" s="132">
        <v>400</v>
      </c>
      <c r="I21" s="63">
        <v>12500</v>
      </c>
      <c r="J21" s="63">
        <v>100</v>
      </c>
      <c r="K21" s="170">
        <f t="shared" si="9"/>
        <v>13000</v>
      </c>
      <c r="L21" s="171">
        <v>-6</v>
      </c>
      <c r="M21" s="153"/>
      <c r="N21" s="149">
        <f>L21+K21+G21+M21</f>
        <v>-36012</v>
      </c>
      <c r="O21" s="67">
        <f t="shared" si="2"/>
        <v>18151.450000000186</v>
      </c>
      <c r="P21" s="7">
        <f t="shared" si="5"/>
        <v>272271.75000000279</v>
      </c>
      <c r="Q21" s="164">
        <f>Q20+N21+2</f>
        <v>157932.45000000019</v>
      </c>
      <c r="R21" s="29">
        <f t="shared" si="3"/>
        <v>111.03048958358666</v>
      </c>
      <c r="S21" s="5">
        <f>SUM($Q$7:$Q21)/T21-1</f>
        <v>182698.45000000019</v>
      </c>
      <c r="T21" s="18">
        <v>15</v>
      </c>
      <c r="U21" s="4"/>
      <c r="V21" s="131"/>
      <c r="W21" s="105">
        <v>-3238070</v>
      </c>
      <c r="X21" s="167"/>
      <c r="Y21" s="156">
        <f>Y20-K21-L21-1</f>
        <v>-3238070</v>
      </c>
      <c r="Z21" s="217"/>
      <c r="AA21" s="92"/>
    </row>
    <row r="22" spans="2:31">
      <c r="B22" s="116">
        <v>45204</v>
      </c>
      <c r="C22" s="14" t="str">
        <f t="shared" si="0"/>
        <v/>
      </c>
      <c r="D22" s="87"/>
      <c r="E22" s="87">
        <v>0</v>
      </c>
      <c r="F22" s="23">
        <v>-3593916</v>
      </c>
      <c r="G22" s="26">
        <f>D22+E22+F22-E21-F21</f>
        <v>-7525</v>
      </c>
      <c r="H22" s="132">
        <v>300</v>
      </c>
      <c r="I22" s="63">
        <v>5200</v>
      </c>
      <c r="J22" s="63">
        <v>100</v>
      </c>
      <c r="K22" s="170">
        <f t="shared" si="9"/>
        <v>5600</v>
      </c>
      <c r="L22" s="171">
        <v>-16</v>
      </c>
      <c r="M22" s="153"/>
      <c r="N22" s="149">
        <f>L22+K22+G22+M22</f>
        <v>-1941</v>
      </c>
      <c r="O22" s="67">
        <f t="shared" si="2"/>
        <v>16482.200000000186</v>
      </c>
      <c r="P22" s="7">
        <f t="shared" si="5"/>
        <v>263715.20000000298</v>
      </c>
      <c r="Q22" s="164">
        <f>Q21+N22</f>
        <v>155991.45000000019</v>
      </c>
      <c r="R22" s="29">
        <f t="shared" si="3"/>
        <v>110.01786712691748</v>
      </c>
      <c r="S22" s="5">
        <f>SUM($Q$7:$Q22)/T22+2</f>
        <v>181032.20000000019</v>
      </c>
      <c r="T22" s="18">
        <v>16</v>
      </c>
      <c r="U22" s="4"/>
      <c r="V22" s="131"/>
      <c r="W22" s="105">
        <v>-3243654</v>
      </c>
      <c r="X22" s="167"/>
      <c r="Y22" s="156">
        <f>Y21-K22-L22</f>
        <v>-3243654</v>
      </c>
      <c r="Z22" s="217"/>
      <c r="AA22" s="92"/>
    </row>
    <row r="23" spans="2:31">
      <c r="B23" s="116">
        <v>45205</v>
      </c>
      <c r="C23" s="14"/>
      <c r="D23" s="87"/>
      <c r="E23" s="87">
        <v>5</v>
      </c>
      <c r="F23" s="23">
        <v>-3603080</v>
      </c>
      <c r="G23" s="26">
        <f>D23+E23+F23-E22-F22</f>
        <v>-9159</v>
      </c>
      <c r="H23" s="132">
        <v>200</v>
      </c>
      <c r="I23" s="63">
        <v>6100</v>
      </c>
      <c r="J23" s="63">
        <v>100</v>
      </c>
      <c r="K23" s="170">
        <f t="shared" si="9"/>
        <v>6400</v>
      </c>
      <c r="L23" s="171">
        <v>-37</v>
      </c>
      <c r="M23" s="153"/>
      <c r="N23" s="149">
        <f>L23+K23+G23+M23</f>
        <v>-2796</v>
      </c>
      <c r="O23" s="67">
        <f t="shared" si="2"/>
        <v>14844.92058823548</v>
      </c>
      <c r="P23" s="7">
        <f t="shared" si="5"/>
        <v>252363.65000000317</v>
      </c>
      <c r="Q23" s="164">
        <f>Q22+N23+1</f>
        <v>153196.45000000019</v>
      </c>
      <c r="R23" s="29">
        <f t="shared" si="3"/>
        <v>109.0216353819162</v>
      </c>
      <c r="S23" s="5">
        <f>SUM($Q$7:$Q23)/T23</f>
        <v>179392.92058823549</v>
      </c>
      <c r="T23" s="18">
        <v>17</v>
      </c>
      <c r="U23" s="27"/>
      <c r="V23" s="135"/>
      <c r="W23" s="105">
        <v>-3250017</v>
      </c>
      <c r="X23" s="167"/>
      <c r="Y23" s="156">
        <f>Y22-K23-L23</f>
        <v>-3250017</v>
      </c>
      <c r="Z23" s="217"/>
      <c r="AA23" s="92"/>
    </row>
    <row r="24" spans="2:31">
      <c r="B24" s="116">
        <v>45206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13389.561111111298</v>
      </c>
      <c r="P24" s="7">
        <f t="shared" si="5"/>
        <v>241012.10000000335</v>
      </c>
      <c r="Q24" s="164">
        <f t="shared" ref="Q24:Q25" si="10">Q23+N24</f>
        <v>153196.45000000019</v>
      </c>
      <c r="R24" s="29">
        <f t="shared" si="3"/>
        <v>108.1371764537468</v>
      </c>
      <c r="S24" s="5">
        <f>SUM($Q$7:$Q24)/T24</f>
        <v>177937.56111111131</v>
      </c>
      <c r="T24" s="18">
        <v>18</v>
      </c>
      <c r="U24" s="4"/>
      <c r="V24" s="135"/>
      <c r="W24" s="105">
        <v>-3250017</v>
      </c>
      <c r="X24" s="167"/>
      <c r="Y24" s="156">
        <f t="shared" si="7"/>
        <v>-3250017</v>
      </c>
      <c r="Z24" s="217"/>
      <c r="AA24" s="92"/>
      <c r="AD24" s="1"/>
      <c r="AE24" s="1"/>
    </row>
    <row r="25" spans="2:31">
      <c r="B25" s="116">
        <v>45207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12087.39736842124</v>
      </c>
      <c r="P25" s="7">
        <f t="shared" si="5"/>
        <v>229660.55000000354</v>
      </c>
      <c r="Q25" s="164">
        <f t="shared" si="10"/>
        <v>153196.45000000019</v>
      </c>
      <c r="R25" s="29">
        <f t="shared" si="3"/>
        <v>107.34581846538471</v>
      </c>
      <c r="S25" s="5">
        <f>SUM($Q$7:$Q25)/T25</f>
        <v>176635.39736842123</v>
      </c>
      <c r="T25" s="18">
        <v>19</v>
      </c>
      <c r="U25" s="4"/>
      <c r="V25" s="131"/>
      <c r="W25" s="105">
        <v>-3250017</v>
      </c>
      <c r="X25" s="167"/>
      <c r="Y25" s="156">
        <f t="shared" si="7"/>
        <v>-3250017</v>
      </c>
      <c r="Z25" s="217"/>
      <c r="AA25" s="92"/>
      <c r="AD25" s="1"/>
      <c r="AE25" s="1"/>
    </row>
    <row r="26" spans="2:31">
      <c r="B26" s="116">
        <v>45208</v>
      </c>
      <c r="C26" s="14"/>
      <c r="D26" s="87"/>
      <c r="E26" s="87">
        <v>0</v>
      </c>
      <c r="F26" s="23">
        <v>-3611134</v>
      </c>
      <c r="G26" s="26">
        <f>D26+E26+F26-E23-F23</f>
        <v>-8059</v>
      </c>
      <c r="H26" s="132">
        <v>200</v>
      </c>
      <c r="I26" s="63">
        <v>11400</v>
      </c>
      <c r="J26" s="63">
        <v>500</v>
      </c>
      <c r="K26" s="170">
        <f t="shared" si="9"/>
        <v>12100</v>
      </c>
      <c r="L26" s="171">
        <v>-39</v>
      </c>
      <c r="M26" s="153"/>
      <c r="N26" s="149">
        <f t="shared" si="8"/>
        <v>4002</v>
      </c>
      <c r="O26" s="67">
        <f t="shared" si="2"/>
        <v>11115.550000000187</v>
      </c>
      <c r="P26" s="7">
        <f t="shared" si="5"/>
        <v>222311.00000000373</v>
      </c>
      <c r="Q26" s="164">
        <f>Q25+N26</f>
        <v>157198.45000000019</v>
      </c>
      <c r="R26" s="29">
        <f t="shared" si="3"/>
        <v>106.75398667865923</v>
      </c>
      <c r="S26" s="5">
        <f>SUM($Q$7:$Q26)/T26-2</f>
        <v>175661.55000000019</v>
      </c>
      <c r="T26" s="18">
        <v>20</v>
      </c>
      <c r="U26" s="138">
        <f>B26</f>
        <v>45208</v>
      </c>
      <c r="V26" s="131">
        <v>1535.3</v>
      </c>
      <c r="W26" s="105">
        <v>-3262078</v>
      </c>
      <c r="X26" s="167">
        <f>AVERAGE(W26:W34)</f>
        <v>-3259043.111111111</v>
      </c>
      <c r="Y26" s="156">
        <f>Y25-K26-L26</f>
        <v>-3262078</v>
      </c>
      <c r="Z26" s="217">
        <f>AVERAGE(Y26:Y34)</f>
        <v>-3259043.111111111</v>
      </c>
      <c r="AC26" s="92"/>
      <c r="AD26" s="1"/>
      <c r="AE26" s="1"/>
    </row>
    <row r="27" spans="2:31">
      <c r="B27" s="116">
        <v>45209</v>
      </c>
      <c r="C27" s="14" t="str">
        <f t="shared" si="0"/>
        <v/>
      </c>
      <c r="D27" s="87"/>
      <c r="E27" s="87">
        <v>45</v>
      </c>
      <c r="F27" s="23">
        <v>-3601074</v>
      </c>
      <c r="G27" s="26">
        <f>D27+E27+F27-E26-F26</f>
        <v>10105</v>
      </c>
      <c r="H27" s="132">
        <v>300</v>
      </c>
      <c r="I27" s="63">
        <v>-8300</v>
      </c>
      <c r="J27" s="63">
        <v>500</v>
      </c>
      <c r="K27" s="170">
        <f t="shared" si="9"/>
        <v>-7500</v>
      </c>
      <c r="L27" s="171">
        <v>-12</v>
      </c>
      <c r="M27" s="153"/>
      <c r="N27" s="149">
        <f>L27+K27+G27+M27</f>
        <v>2593</v>
      </c>
      <c r="O27" s="67">
        <f t="shared" si="2"/>
        <v>10359.592857143043</v>
      </c>
      <c r="P27" s="7">
        <f t="shared" si="5"/>
        <v>217551.45000000391</v>
      </c>
      <c r="Q27" s="164">
        <f>Q26+N27+1-4</f>
        <v>159788.45000000019</v>
      </c>
      <c r="R27" s="29">
        <f t="shared" si="3"/>
        <v>106.26661694894078</v>
      </c>
      <c r="S27" s="5">
        <f>SUM($Q$7:$Q27)/T27-48</f>
        <v>174859.59285714306</v>
      </c>
      <c r="T27" s="18">
        <v>21</v>
      </c>
      <c r="U27" s="138">
        <f>B28+6</f>
        <v>45216</v>
      </c>
      <c r="V27" s="159"/>
      <c r="W27" s="105">
        <v>-3254567</v>
      </c>
      <c r="X27" s="167"/>
      <c r="Y27" s="156">
        <f>Y26-K27-L27-1</f>
        <v>-3254567</v>
      </c>
      <c r="Z27" s="217"/>
      <c r="AA27" s="92"/>
      <c r="AD27" s="1"/>
      <c r="AE27" s="1"/>
    </row>
    <row r="28" spans="2:31">
      <c r="B28" s="116">
        <v>45210</v>
      </c>
      <c r="C28" s="14" t="str">
        <f t="shared" si="0"/>
        <v/>
      </c>
      <c r="D28" s="87">
        <f>-7797+7498</f>
        <v>-299</v>
      </c>
      <c r="E28" s="87">
        <v>0</v>
      </c>
      <c r="F28" s="23">
        <v>-3594512</v>
      </c>
      <c r="G28" s="26">
        <f>D28+E28+F28-E27-F27</f>
        <v>6218</v>
      </c>
      <c r="H28" s="132">
        <v>300</v>
      </c>
      <c r="I28" s="63">
        <v>500</v>
      </c>
      <c r="J28" s="63">
        <v>500</v>
      </c>
      <c r="K28" s="170">
        <f t="shared" si="9"/>
        <v>1300</v>
      </c>
      <c r="L28" s="171">
        <v>-39</v>
      </c>
      <c r="M28" s="153"/>
      <c r="N28" s="149">
        <f>L28+K28+G28+M28</f>
        <v>7479</v>
      </c>
      <c r="O28" s="67">
        <f t="shared" si="2"/>
        <v>10012.404545454732</v>
      </c>
      <c r="P28" s="7">
        <f t="shared" si="5"/>
        <v>220272.9000000041</v>
      </c>
      <c r="Q28" s="164">
        <f>Q27+N28+2</f>
        <v>167269.45000000019</v>
      </c>
      <c r="R28" s="29">
        <f t="shared" si="3"/>
        <v>106.08418488553781</v>
      </c>
      <c r="S28" s="5">
        <f>SUM($Q$7:$Q28)/T28-1</f>
        <v>174559.40454545474</v>
      </c>
      <c r="T28" s="18">
        <v>22</v>
      </c>
      <c r="U28" s="4"/>
      <c r="V28" s="131"/>
      <c r="W28" s="105">
        <v>-3255827</v>
      </c>
      <c r="X28" s="167"/>
      <c r="Y28" s="156">
        <f>Y27-K28-L28+1</f>
        <v>-3255827</v>
      </c>
      <c r="Z28" s="217"/>
      <c r="AA28" s="92"/>
      <c r="AD28" s="1"/>
      <c r="AE28" s="1"/>
    </row>
    <row r="29" spans="2:31">
      <c r="B29" s="116">
        <v>45211</v>
      </c>
      <c r="C29" s="14" t="str">
        <f t="shared" si="0"/>
        <v/>
      </c>
      <c r="D29" s="87"/>
      <c r="E29" s="87">
        <v>0</v>
      </c>
      <c r="F29" s="23">
        <v>-3614358</v>
      </c>
      <c r="G29" s="26">
        <f>D29+E29+F29-E28-F28</f>
        <v>-19846</v>
      </c>
      <c r="H29" s="132">
        <v>300</v>
      </c>
      <c r="I29" s="63">
        <v>7900</v>
      </c>
      <c r="J29" s="63">
        <v>400</v>
      </c>
      <c r="K29" s="170">
        <f t="shared" si="9"/>
        <v>8600</v>
      </c>
      <c r="L29" s="171">
        <v>35</v>
      </c>
      <c r="M29" s="153"/>
      <c r="N29" s="149">
        <f>L29+K29+G29+M29</f>
        <v>-11211</v>
      </c>
      <c r="O29" s="67">
        <f t="shared" si="2"/>
        <v>9207.9717391306203</v>
      </c>
      <c r="P29" s="7">
        <f t="shared" si="5"/>
        <v>211783.35000000428</v>
      </c>
      <c r="Q29" s="164">
        <f>Q28+N29</f>
        <v>156058.45000000019</v>
      </c>
      <c r="R29" s="29">
        <f t="shared" si="3"/>
        <v>105.59531063223535</v>
      </c>
      <c r="S29" s="5">
        <f>SUM($Q$7:$Q29)/T29-1</f>
        <v>173754.97173913062</v>
      </c>
      <c r="T29" s="18">
        <v>23</v>
      </c>
      <c r="U29" s="4"/>
      <c r="V29" s="131"/>
      <c r="W29" s="105">
        <v>-3264462</v>
      </c>
      <c r="X29" s="167"/>
      <c r="Y29" s="156">
        <f>Y28-K29-L29</f>
        <v>-3264462</v>
      </c>
      <c r="Z29" s="217"/>
      <c r="AA29" s="92"/>
      <c r="AD29" s="1"/>
      <c r="AE29" s="1"/>
    </row>
    <row r="30" spans="2:31">
      <c r="B30" s="116">
        <v>45212</v>
      </c>
      <c r="C30" s="14" t="str">
        <f t="shared" si="0"/>
        <v/>
      </c>
      <c r="D30" s="87"/>
      <c r="E30" s="87">
        <v>30</v>
      </c>
      <c r="F30" s="23">
        <v>-3602332</v>
      </c>
      <c r="G30" s="26">
        <f>D30+E30+F30-E29-F29</f>
        <v>12056</v>
      </c>
      <c r="H30" s="132">
        <v>300</v>
      </c>
      <c r="I30" s="25">
        <v>-7800</v>
      </c>
      <c r="J30" s="25">
        <v>400</v>
      </c>
      <c r="K30" s="170">
        <f t="shared" si="9"/>
        <v>-7100</v>
      </c>
      <c r="L30" s="171">
        <v>-11</v>
      </c>
      <c r="M30" s="153"/>
      <c r="N30" s="149">
        <f>L30+K30+G30+M30</f>
        <v>4945</v>
      </c>
      <c r="O30" s="67">
        <f t="shared" si="2"/>
        <v>8676.5750000001863</v>
      </c>
      <c r="P30" s="7">
        <f t="shared" si="5"/>
        <v>208237.80000000447</v>
      </c>
      <c r="Q30" s="164">
        <f>Q29+N30-1</f>
        <v>161002.45000000019</v>
      </c>
      <c r="R30" s="29">
        <f t="shared" si="3"/>
        <v>105.27601368597624</v>
      </c>
      <c r="S30" s="5">
        <f>SUM($Q$7:$Q30)/T30+5</f>
        <v>173229.57500000019</v>
      </c>
      <c r="T30" s="18">
        <v>24</v>
      </c>
      <c r="U30" s="4"/>
      <c r="V30" s="131"/>
      <c r="W30" s="105">
        <v>-3257351</v>
      </c>
      <c r="X30" s="167"/>
      <c r="Y30" s="156">
        <f>Y29-K30-L30</f>
        <v>-3257351</v>
      </c>
      <c r="Z30" s="217"/>
      <c r="AA30" s="92"/>
      <c r="AD30" s="1"/>
      <c r="AE30" s="1"/>
    </row>
    <row r="31" spans="2:31">
      <c r="B31" s="116">
        <v>45213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8187.690000000186</v>
      </c>
      <c r="P31" s="7">
        <f t="shared" si="5"/>
        <v>204692.25000000466</v>
      </c>
      <c r="Q31" s="164">
        <f t="shared" ref="Q31:Q39" si="11">Q30+N31</f>
        <v>161002.45000000019</v>
      </c>
      <c r="R31" s="29">
        <f t="shared" si="3"/>
        <v>104.9752594987482</v>
      </c>
      <c r="S31" s="5">
        <f>SUM($Q$7:$Q31)/T31-1</f>
        <v>172734.69000000018</v>
      </c>
      <c r="T31" s="18">
        <v>25</v>
      </c>
      <c r="U31" s="4"/>
      <c r="V31" s="137"/>
      <c r="W31" s="105">
        <v>-3257351</v>
      </c>
      <c r="X31" s="167"/>
      <c r="Y31" s="156">
        <f t="shared" si="7"/>
        <v>-3257351</v>
      </c>
      <c r="Z31" s="217"/>
      <c r="AA31" s="92"/>
      <c r="AB31" s="92"/>
      <c r="AD31" s="1"/>
      <c r="AE31" s="1"/>
    </row>
    <row r="32" spans="2:31">
      <c r="B32" s="116">
        <v>45214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7736.4115384617244</v>
      </c>
      <c r="P32" s="7">
        <f t="shared" si="5"/>
        <v>201146.70000000484</v>
      </c>
      <c r="Q32" s="164">
        <f t="shared" si="11"/>
        <v>161002.45000000019</v>
      </c>
      <c r="R32" s="29">
        <f t="shared" si="3"/>
        <v>104.70100611278272</v>
      </c>
      <c r="S32" s="5">
        <f>SUM($Q$7:$Q32)/T32-1</f>
        <v>172283.41153846172</v>
      </c>
      <c r="T32" s="18">
        <v>26</v>
      </c>
      <c r="U32" s="27"/>
      <c r="V32" s="137"/>
      <c r="W32" s="105">
        <v>-3257351</v>
      </c>
      <c r="X32" s="167"/>
      <c r="Y32" s="156">
        <f t="shared" si="7"/>
        <v>-3257351</v>
      </c>
      <c r="Z32" s="217"/>
      <c r="AD32" s="1"/>
      <c r="AE32" s="1"/>
    </row>
    <row r="33" spans="2:31">
      <c r="B33" s="116">
        <v>45215</v>
      </c>
      <c r="C33" s="14" t="str">
        <f t="shared" si="0"/>
        <v/>
      </c>
      <c r="D33" s="87"/>
      <c r="E33" s="87">
        <v>30</v>
      </c>
      <c r="F33" s="23">
        <v>-3611718</v>
      </c>
      <c r="G33" s="26">
        <f>D33+E33+F33-E30-F30</f>
        <v>-9386</v>
      </c>
      <c r="H33" s="132">
        <v>2800</v>
      </c>
      <c r="I33" s="25">
        <v>790</v>
      </c>
      <c r="J33" s="25">
        <v>600</v>
      </c>
      <c r="K33" s="170">
        <f t="shared" si="9"/>
        <v>4190</v>
      </c>
      <c r="L33" s="320">
        <v>5</v>
      </c>
      <c r="M33" s="153"/>
      <c r="N33" s="149">
        <f t="shared" si="8"/>
        <v>-5191</v>
      </c>
      <c r="O33" s="67">
        <f t="shared" si="2"/>
        <v>7126.3018518520385</v>
      </c>
      <c r="P33" s="7">
        <f t="shared" si="5"/>
        <v>192410.15000000503</v>
      </c>
      <c r="Q33" s="164">
        <f>Q32+N33</f>
        <v>155811.45000000019</v>
      </c>
      <c r="R33" s="29">
        <f t="shared" si="3"/>
        <v>104.30834884158546</v>
      </c>
      <c r="S33" s="5">
        <f>SUM($Q$7:$Q33)/T33-37</f>
        <v>171637.30185185204</v>
      </c>
      <c r="T33" s="18">
        <v>27</v>
      </c>
      <c r="U33" s="138">
        <f>B33</f>
        <v>45215</v>
      </c>
      <c r="V33" s="131">
        <v>1526.9</v>
      </c>
      <c r="W33" s="105">
        <v>-3261545</v>
      </c>
      <c r="X33" s="167">
        <f>AVERAGE(W33:W41)</f>
        <v>-3248899.888888889</v>
      </c>
      <c r="Y33" s="156">
        <f>Y32-K33-L33+1</f>
        <v>-3261545</v>
      </c>
      <c r="Z33" s="217">
        <f>AVERAGE(Y33:Y41)</f>
        <v>-3248899.888888889</v>
      </c>
      <c r="AD33" s="1"/>
      <c r="AE33" s="1"/>
    </row>
    <row r="34" spans="2:31">
      <c r="B34" s="116">
        <v>45216</v>
      </c>
      <c r="C34" s="14" t="str">
        <f t="shared" si="0"/>
        <v/>
      </c>
      <c r="D34" s="87"/>
      <c r="E34" s="87">
        <v>31</v>
      </c>
      <c r="F34" s="23">
        <v>-3609106</v>
      </c>
      <c r="G34" s="26">
        <f>D34+E34+F34-E33-F33</f>
        <v>2613</v>
      </c>
      <c r="H34" s="132">
        <v>300</v>
      </c>
      <c r="I34" s="25">
        <v>-1600</v>
      </c>
      <c r="J34" s="25">
        <v>600</v>
      </c>
      <c r="K34" s="170">
        <f t="shared" si="9"/>
        <v>-700</v>
      </c>
      <c r="L34" s="171">
        <v>12</v>
      </c>
      <c r="M34" s="153"/>
      <c r="N34" s="149">
        <f>L34+K34+G34+M34</f>
        <v>1925</v>
      </c>
      <c r="O34" s="67">
        <f t="shared" si="2"/>
        <v>6628.4857142859009</v>
      </c>
      <c r="P34" s="7">
        <f t="shared" si="5"/>
        <v>185597.60000000522</v>
      </c>
      <c r="Q34" s="164">
        <f>Q33+N34-1</f>
        <v>157735.45000000019</v>
      </c>
      <c r="R34" s="29">
        <f t="shared" si="3"/>
        <v>104.02769144218458</v>
      </c>
      <c r="S34" s="5">
        <f>SUM($Q$7:$Q34)/T34-1</f>
        <v>171175.4857142859</v>
      </c>
      <c r="T34" s="18">
        <v>28</v>
      </c>
      <c r="U34" s="138">
        <f>B33+8</f>
        <v>45223</v>
      </c>
      <c r="V34" s="131"/>
      <c r="W34" s="105">
        <v>-3260856</v>
      </c>
      <c r="X34" s="167"/>
      <c r="Y34" s="156">
        <f>Y33-K34-L34+1</f>
        <v>-3260856</v>
      </c>
      <c r="Z34" s="217"/>
      <c r="AA34" s="92"/>
      <c r="AD34" s="1"/>
      <c r="AE34" s="1"/>
    </row>
    <row r="35" spans="2:31">
      <c r="B35" s="116">
        <v>45217</v>
      </c>
      <c r="C35" s="14" t="str">
        <f t="shared" si="0"/>
        <v/>
      </c>
      <c r="D35" s="87">
        <f>-7498+7677</f>
        <v>179</v>
      </c>
      <c r="E35" s="87">
        <v>80</v>
      </c>
      <c r="F35" s="23">
        <v>-3605219</v>
      </c>
      <c r="G35" s="26">
        <f>D35+E35+F35-E34-F34</f>
        <v>4115</v>
      </c>
      <c r="H35" s="132">
        <v>300</v>
      </c>
      <c r="I35" s="25">
        <v>-8200</v>
      </c>
      <c r="J35" s="25">
        <v>600</v>
      </c>
      <c r="K35" s="170">
        <f t="shared" si="9"/>
        <v>-7300</v>
      </c>
      <c r="L35" s="171">
        <v>-12</v>
      </c>
      <c r="M35" s="153"/>
      <c r="N35" s="149">
        <f t="shared" si="8"/>
        <v>-3197</v>
      </c>
      <c r="O35" s="67">
        <f t="shared" si="2"/>
        <v>6054.7948275863928</v>
      </c>
      <c r="P35" s="7">
        <f t="shared" si="5"/>
        <v>175589.0500000054</v>
      </c>
      <c r="Q35" s="164">
        <f>Q34+N35+1</f>
        <v>154539.45000000019</v>
      </c>
      <c r="R35" s="29">
        <f t="shared" si="3"/>
        <v>103.67965264092325</v>
      </c>
      <c r="S35" s="5">
        <f>SUM($Q$7:$Q35)/T35</f>
        <v>170602.79482758639</v>
      </c>
      <c r="T35" s="18">
        <v>29</v>
      </c>
      <c r="U35" s="4"/>
      <c r="V35" s="131"/>
      <c r="W35" s="105">
        <v>-3253545</v>
      </c>
      <c r="X35" s="167"/>
      <c r="Y35" s="156">
        <f>Y34-K35-L35-1</f>
        <v>-3253545</v>
      </c>
      <c r="Z35" s="217"/>
      <c r="AA35" s="92"/>
      <c r="AD35" s="1"/>
      <c r="AE35" s="1"/>
    </row>
    <row r="36" spans="2:31">
      <c r="B36" s="116">
        <v>45218</v>
      </c>
      <c r="C36" s="14" t="str">
        <f t="shared" si="0"/>
        <v/>
      </c>
      <c r="D36" s="87"/>
      <c r="E36" s="87">
        <v>90</v>
      </c>
      <c r="F36" s="23">
        <v>-3589084</v>
      </c>
      <c r="G36" s="26">
        <f>D36+E36+F36-E35-F35</f>
        <v>16145</v>
      </c>
      <c r="H36" s="132">
        <v>300</v>
      </c>
      <c r="I36" s="25">
        <v>-15600</v>
      </c>
      <c r="J36" s="25">
        <v>600</v>
      </c>
      <c r="K36" s="170">
        <f t="shared" si="9"/>
        <v>-14700</v>
      </c>
      <c r="L36" s="171">
        <v>-2</v>
      </c>
      <c r="M36" s="153"/>
      <c r="N36" s="149">
        <f t="shared" si="8"/>
        <v>1443</v>
      </c>
      <c r="O36" s="67">
        <f t="shared" si="2"/>
        <v>5567.4166666668525</v>
      </c>
      <c r="P36" s="7">
        <f t="shared" si="5"/>
        <v>167022.50000000559</v>
      </c>
      <c r="Q36" s="164">
        <f>Q35+N36-1</f>
        <v>155981.45000000019</v>
      </c>
      <c r="R36" s="29">
        <f t="shared" si="3"/>
        <v>103.38285282511295</v>
      </c>
      <c r="S36" s="5">
        <f>SUM($Q$7:$Q36)/T36-1</f>
        <v>170114.41666666686</v>
      </c>
      <c r="T36" s="18">
        <v>30</v>
      </c>
      <c r="U36" s="4"/>
      <c r="V36" s="136"/>
      <c r="W36" s="105">
        <v>-3238843</v>
      </c>
      <c r="X36" s="167"/>
      <c r="Y36" s="156">
        <f>Y35-K36-L36</f>
        <v>-3238843</v>
      </c>
      <c r="Z36" s="217"/>
      <c r="AD36" s="1"/>
      <c r="AE36" s="1"/>
    </row>
    <row r="37" spans="2:31">
      <c r="B37" s="116">
        <v>45219</v>
      </c>
      <c r="C37" s="14"/>
      <c r="D37" s="87"/>
      <c r="E37" s="87">
        <v>49</v>
      </c>
      <c r="F37" s="23">
        <v>-3587341</v>
      </c>
      <c r="G37" s="26">
        <f>D37+E37+F37-E36-F36</f>
        <v>1702</v>
      </c>
      <c r="H37" s="132">
        <v>300</v>
      </c>
      <c r="I37" s="25">
        <v>4000</v>
      </c>
      <c r="J37" s="25">
        <v>500</v>
      </c>
      <c r="K37" s="170">
        <f t="shared" si="9"/>
        <v>4800</v>
      </c>
      <c r="L37" s="171">
        <v>31</v>
      </c>
      <c r="M37" s="153"/>
      <c r="N37" s="149">
        <f t="shared" si="8"/>
        <v>6533</v>
      </c>
      <c r="O37" s="67">
        <f t="shared" si="2"/>
        <v>5322.1596774195414</v>
      </c>
      <c r="P37" s="7">
        <f t="shared" si="5"/>
        <v>164986.95000000577</v>
      </c>
      <c r="Q37" s="164">
        <f>Q36+N37-2</f>
        <v>162512.45000000019</v>
      </c>
      <c r="R37" s="29">
        <f t="shared" si="3"/>
        <v>103.2350193727177</v>
      </c>
      <c r="S37" s="5">
        <f>SUM($Q$7:$Q37)/T37+1</f>
        <v>169871.15967741955</v>
      </c>
      <c r="T37" s="18">
        <v>31</v>
      </c>
      <c r="U37" s="27"/>
      <c r="V37" s="137"/>
      <c r="W37" s="105">
        <v>-3243671</v>
      </c>
      <c r="X37" s="167"/>
      <c r="Y37" s="156">
        <f>Y36-K37-L37+3</f>
        <v>-3243671</v>
      </c>
      <c r="Z37" s="217"/>
      <c r="AA37" s="92"/>
      <c r="AD37" s="1"/>
      <c r="AE37" s="1"/>
    </row>
    <row r="38" spans="2:31">
      <c r="B38" s="116">
        <v>45220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5092.2312500001863</v>
      </c>
      <c r="P38" s="7">
        <f t="shared" si="5"/>
        <v>162951.40000000596</v>
      </c>
      <c r="Q38" s="164">
        <f t="shared" si="11"/>
        <v>162512.45000000019</v>
      </c>
      <c r="R38" s="29">
        <f t="shared" si="3"/>
        <v>103.09467830055678</v>
      </c>
      <c r="S38" s="5">
        <f>SUM($Q$7:$Q38)/T38</f>
        <v>169640.23125000019</v>
      </c>
      <c r="T38" s="18">
        <v>32</v>
      </c>
      <c r="U38" s="27"/>
      <c r="V38" s="137"/>
      <c r="W38" s="105">
        <v>-3243671</v>
      </c>
      <c r="X38" s="167"/>
      <c r="Y38" s="156">
        <f t="shared" si="7"/>
        <v>-3243671</v>
      </c>
      <c r="Z38" s="217"/>
      <c r="AD38" s="1"/>
      <c r="AE38" s="1"/>
    </row>
    <row r="39" spans="2:31">
      <c r="B39" s="116">
        <v>45221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4876.2378787880652</v>
      </c>
      <c r="P39" s="7">
        <f t="shared" si="5"/>
        <v>160915.85000000615</v>
      </c>
      <c r="Q39" s="164">
        <f t="shared" si="11"/>
        <v>162512.45000000019</v>
      </c>
      <c r="R39" s="29">
        <f t="shared" si="3"/>
        <v>102.96462909229408</v>
      </c>
      <c r="S39" s="5">
        <f>SUM($Q$7:$Q39)/T39+2</f>
        <v>169426.23787878806</v>
      </c>
      <c r="T39" s="18">
        <v>33</v>
      </c>
      <c r="U39" s="27"/>
      <c r="V39" s="137"/>
      <c r="W39" s="105">
        <v>-3243671</v>
      </c>
      <c r="X39" s="167"/>
      <c r="Y39" s="156">
        <f t="shared" si="7"/>
        <v>-3243671</v>
      </c>
      <c r="Z39" s="217"/>
      <c r="AD39" s="1"/>
      <c r="AE39" s="1"/>
    </row>
    <row r="40" spans="2:31">
      <c r="B40" s="116">
        <v>45222</v>
      </c>
      <c r="C40" s="14"/>
      <c r="D40" s="87"/>
      <c r="E40" s="87">
        <v>127</v>
      </c>
      <c r="F40" s="23">
        <v>-3579127</v>
      </c>
      <c r="G40" s="26">
        <f>D40+E40+F40-E37-F37</f>
        <v>8292</v>
      </c>
      <c r="H40" s="132">
        <v>2800</v>
      </c>
      <c r="I40" s="25">
        <v>2400</v>
      </c>
      <c r="J40" s="25">
        <v>-100</v>
      </c>
      <c r="K40" s="170">
        <f t="shared" si="9"/>
        <v>5100</v>
      </c>
      <c r="L40" s="171">
        <v>-7</v>
      </c>
      <c r="M40" s="153"/>
      <c r="N40" s="149">
        <f t="shared" si="8"/>
        <v>13385</v>
      </c>
      <c r="O40" s="67">
        <f t="shared" si="2"/>
        <v>5066.5382352943043</v>
      </c>
      <c r="P40" s="7">
        <f t="shared" si="5"/>
        <v>172262.30000000633</v>
      </c>
      <c r="Q40" s="164">
        <f>Q39+N40-3</f>
        <v>175894.45000000019</v>
      </c>
      <c r="R40" s="29">
        <f t="shared" si="3"/>
        <v>103.07845627737457</v>
      </c>
      <c r="S40" s="5">
        <f>SUM($Q$7:$Q40)/T40-1</f>
        <v>169613.53823529431</v>
      </c>
      <c r="T40" s="18">
        <v>34</v>
      </c>
      <c r="U40" s="138">
        <f>B40</f>
        <v>45222</v>
      </c>
      <c r="V40" s="131">
        <v>1518.8</v>
      </c>
      <c r="W40" s="105">
        <v>-3248762</v>
      </c>
      <c r="X40" s="167">
        <f>AVERAGE(W40:W48)</f>
        <v>-3225473</v>
      </c>
      <c r="Y40" s="156">
        <f>Y39-K40-L40+2</f>
        <v>-3248762</v>
      </c>
      <c r="Z40" s="217">
        <f>AVERAGE(Y40:Y48)</f>
        <v>-3225472.888888889</v>
      </c>
      <c r="AD40" s="1"/>
      <c r="AE40" s="1"/>
    </row>
    <row r="41" spans="2:31">
      <c r="B41" s="116">
        <v>45223</v>
      </c>
      <c r="C41" s="14" t="str">
        <f t="shared" si="0"/>
        <v/>
      </c>
      <c r="D41" s="87"/>
      <c r="E41" s="87">
        <v>61</v>
      </c>
      <c r="F41" s="23">
        <v>-3582206</v>
      </c>
      <c r="G41" s="26">
        <f>D41+E41+F41-E40-F40</f>
        <v>-3145</v>
      </c>
      <c r="H41" s="132">
        <v>300</v>
      </c>
      <c r="I41" s="25">
        <v>-3400</v>
      </c>
      <c r="J41" s="25">
        <v>-100</v>
      </c>
      <c r="K41" s="170">
        <f t="shared" si="9"/>
        <v>-3200</v>
      </c>
      <c r="L41" s="171">
        <v>-26</v>
      </c>
      <c r="M41" s="153"/>
      <c r="N41" s="149">
        <f t="shared" si="8"/>
        <v>-6371</v>
      </c>
      <c r="O41" s="67">
        <f t="shared" si="2"/>
        <v>5063.9357142859008</v>
      </c>
      <c r="P41" s="7">
        <f t="shared" si="5"/>
        <v>177237.75000000652</v>
      </c>
      <c r="Q41" s="164">
        <f>Q40+N41</f>
        <v>169523.45000000019</v>
      </c>
      <c r="R41" s="29">
        <f t="shared" si="3"/>
        <v>103.07809011005051</v>
      </c>
      <c r="S41" s="5">
        <f>SUM($Q$7:$Q41)/T41+1</f>
        <v>169612.93571428591</v>
      </c>
      <c r="T41" s="18">
        <v>35</v>
      </c>
      <c r="U41" s="138">
        <f>B40+8</f>
        <v>45230</v>
      </c>
      <c r="V41" s="137"/>
      <c r="W41" s="105">
        <v>-3245535</v>
      </c>
      <c r="X41" s="167"/>
      <c r="Y41" s="156">
        <f>Y40-K41-L41+1</f>
        <v>-3245535</v>
      </c>
      <c r="Z41" s="217"/>
      <c r="AD41" s="1"/>
      <c r="AE41" s="1"/>
    </row>
    <row r="42" spans="2:31">
      <c r="B42" s="116">
        <v>45224</v>
      </c>
      <c r="C42" s="14" t="str">
        <f t="shared" si="0"/>
        <v/>
      </c>
      <c r="D42" s="87">
        <f>-7677+10490</f>
        <v>2813</v>
      </c>
      <c r="E42" s="87">
        <v>40</v>
      </c>
      <c r="F42" s="23">
        <v>-3545974</v>
      </c>
      <c r="G42" s="26">
        <f>D42+E42+F42-E41-F41</f>
        <v>39024</v>
      </c>
      <c r="H42" s="132">
        <v>300</v>
      </c>
      <c r="I42" s="25">
        <v>-7200</v>
      </c>
      <c r="J42" s="25">
        <v>-100</v>
      </c>
      <c r="K42" s="170">
        <f t="shared" si="9"/>
        <v>-7000</v>
      </c>
      <c r="L42" s="171">
        <v>-41</v>
      </c>
      <c r="M42" s="153"/>
      <c r="N42" s="149">
        <f t="shared" si="8"/>
        <v>31983</v>
      </c>
      <c r="O42" s="67">
        <f t="shared" si="2"/>
        <v>5949.8666666668532</v>
      </c>
      <c r="P42" s="7">
        <f t="shared" si="5"/>
        <v>214195.20000000671</v>
      </c>
      <c r="Q42" s="164">
        <f>Q41+N42-1</f>
        <v>201505.45000000019</v>
      </c>
      <c r="R42" s="29">
        <f t="shared" si="3"/>
        <v>103.61527740639013</v>
      </c>
      <c r="S42" s="5">
        <f>SUM($Q$7:$Q42)/T42-1</f>
        <v>170496.86666666684</v>
      </c>
      <c r="T42" s="18">
        <v>36</v>
      </c>
      <c r="U42" s="138"/>
      <c r="V42" s="137"/>
      <c r="W42" s="105">
        <v>-3238493</v>
      </c>
      <c r="X42" s="167"/>
      <c r="Y42" s="156">
        <f>Y41-K42-L42+1</f>
        <v>-3238493</v>
      </c>
      <c r="Z42" s="217"/>
      <c r="AD42" s="1"/>
      <c r="AE42" s="1"/>
    </row>
    <row r="43" spans="2:31">
      <c r="B43" s="116">
        <v>45225</v>
      </c>
      <c r="C43" s="14" t="str">
        <f t="shared" si="0"/>
        <v/>
      </c>
      <c r="D43" s="87">
        <f>-3165+540</f>
        <v>-2625</v>
      </c>
      <c r="E43" s="87">
        <v>70</v>
      </c>
      <c r="F43" s="23">
        <v>-3554351</v>
      </c>
      <c r="G43" s="26">
        <f>D43+E43+F43-E42-F42</f>
        <v>-10972</v>
      </c>
      <c r="H43" s="132">
        <v>300</v>
      </c>
      <c r="I43" s="25">
        <v>-7600</v>
      </c>
      <c r="J43" s="25">
        <v>-100</v>
      </c>
      <c r="K43" s="170">
        <f t="shared" si="9"/>
        <v>-7400</v>
      </c>
      <c r="L43" s="171">
        <v>19</v>
      </c>
      <c r="M43" s="153"/>
      <c r="N43" s="149">
        <f t="shared" si="8"/>
        <v>-18353</v>
      </c>
      <c r="O43" s="67">
        <f t="shared" si="2"/>
        <v>6291.9094594596454</v>
      </c>
      <c r="P43" s="7">
        <f t="shared" si="5"/>
        <v>232800.65000000689</v>
      </c>
      <c r="Q43" s="164">
        <f>Q42+N43+1</f>
        <v>183153.45000000019</v>
      </c>
      <c r="R43" s="29">
        <f t="shared" si="3"/>
        <v>103.82375322669353</v>
      </c>
      <c r="S43" s="5">
        <f>SUM($Q$7:$Q43)/T43</f>
        <v>170839.90945945965</v>
      </c>
      <c r="T43" s="18">
        <v>37</v>
      </c>
      <c r="U43" s="138"/>
      <c r="V43" s="137"/>
      <c r="W43" s="105">
        <v>-3231114</v>
      </c>
      <c r="X43" s="167"/>
      <c r="Y43" s="156">
        <f>Y42-K43-L43-1</f>
        <v>-3231113</v>
      </c>
      <c r="Z43" s="217"/>
      <c r="AD43" s="1"/>
      <c r="AE43" s="1"/>
    </row>
    <row r="44" spans="2:31">
      <c r="B44" s="116">
        <v>45226</v>
      </c>
      <c r="C44" s="14" t="str">
        <f t="shared" si="0"/>
        <v/>
      </c>
      <c r="D44" s="87"/>
      <c r="E44" s="87">
        <v>307</v>
      </c>
      <c r="F44" s="23">
        <v>-3533275</v>
      </c>
      <c r="G44" s="26">
        <f>D44+E44+F44-E43-F43</f>
        <v>21313</v>
      </c>
      <c r="H44" s="132">
        <v>300</v>
      </c>
      <c r="I44" s="25">
        <v>-4100</v>
      </c>
      <c r="J44" s="25">
        <v>-300</v>
      </c>
      <c r="K44" s="170">
        <f t="shared" si="9"/>
        <v>-4100</v>
      </c>
      <c r="L44" s="171">
        <v>21</v>
      </c>
      <c r="M44" s="153"/>
      <c r="N44" s="149">
        <f t="shared" si="8"/>
        <v>17234</v>
      </c>
      <c r="O44" s="67">
        <f t="shared" si="2"/>
        <v>7069.4763157896596</v>
      </c>
      <c r="P44" s="7">
        <f t="shared" si="5"/>
        <v>268640.10000000708</v>
      </c>
      <c r="Q44" s="164">
        <f>Q43+N44</f>
        <v>200387.45000000019</v>
      </c>
      <c r="R44" s="29">
        <f t="shared" si="3"/>
        <v>104.29690808505097</v>
      </c>
      <c r="S44" s="5">
        <f>SUM($Q$7:$Q44)/T44+1</f>
        <v>171618.47631578965</v>
      </c>
      <c r="T44" s="18">
        <v>38</v>
      </c>
      <c r="U44" s="138"/>
      <c r="V44" s="137"/>
      <c r="W44" s="105">
        <v>-3227034</v>
      </c>
      <c r="X44" s="167"/>
      <c r="Y44" s="156">
        <f>Y43-K44-L44</f>
        <v>-3227034</v>
      </c>
      <c r="Z44" s="217"/>
      <c r="AD44" s="1"/>
      <c r="AE44" s="1"/>
    </row>
    <row r="45" spans="2:31">
      <c r="B45" s="116">
        <v>45227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7807.1679487181345</v>
      </c>
      <c r="P45" s="7">
        <f t="shared" si="5"/>
        <v>304479.55000000726</v>
      </c>
      <c r="Q45" s="164">
        <f t="shared" ref="Q45:Q46" si="12">Q44+N45</f>
        <v>200387.45000000019</v>
      </c>
      <c r="R45" s="29">
        <f t="shared" si="3"/>
        <v>104.74522203169782</v>
      </c>
      <c r="S45" s="5">
        <f>SUM($Q$7:$Q45)/T45+1</f>
        <v>172356.16794871812</v>
      </c>
      <c r="T45" s="18">
        <v>39</v>
      </c>
      <c r="U45" s="138"/>
      <c r="V45" s="137"/>
      <c r="W45" s="105">
        <v>-3227034</v>
      </c>
      <c r="X45" s="167"/>
      <c r="Y45" s="156">
        <f t="shared" ref="Y45:Y47" si="13">Y44-K45-L45</f>
        <v>-3227034</v>
      </c>
      <c r="Z45" s="217"/>
      <c r="AD45" s="1"/>
      <c r="AE45" s="1"/>
    </row>
    <row r="46" spans="2:31">
      <c r="B46" s="116">
        <v>45228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8507.9750000001859</v>
      </c>
      <c r="P46" s="7">
        <f t="shared" si="5"/>
        <v>340319.00000000745</v>
      </c>
      <c r="Q46" s="164">
        <f t="shared" si="12"/>
        <v>200387.45000000019</v>
      </c>
      <c r="R46" s="29">
        <f t="shared" si="3"/>
        <v>105.17112028101235</v>
      </c>
      <c r="S46" s="5">
        <f>SUM($Q$7:$Q46)/T46+1</f>
        <v>173056.97500000018</v>
      </c>
      <c r="T46" s="18">
        <v>40</v>
      </c>
      <c r="U46" s="138"/>
      <c r="V46" s="137"/>
      <c r="W46" s="105">
        <v>-3227034</v>
      </c>
      <c r="X46" s="167"/>
      <c r="Y46" s="156">
        <f t="shared" si="13"/>
        <v>-3227034</v>
      </c>
      <c r="Z46" s="217"/>
      <c r="AD46" s="1"/>
      <c r="AE46" s="1"/>
    </row>
    <row r="47" spans="2:31">
      <c r="B47" s="116">
        <v>45229</v>
      </c>
      <c r="C47" s="14"/>
      <c r="D47" s="87"/>
      <c r="E47" s="87">
        <v>85</v>
      </c>
      <c r="F47" s="23">
        <v>-3490157</v>
      </c>
      <c r="G47" s="26">
        <f>D47+E47+F47-E44-F44</f>
        <v>42896</v>
      </c>
      <c r="H47" s="132">
        <v>300</v>
      </c>
      <c r="I47" s="25">
        <v>-26400</v>
      </c>
      <c r="J47" s="25">
        <v>-100</v>
      </c>
      <c r="K47" s="170">
        <f t="shared" si="9"/>
        <v>-26200</v>
      </c>
      <c r="L47" s="171">
        <v>-33</v>
      </c>
      <c r="M47" s="153"/>
      <c r="N47" s="149">
        <f t="shared" si="8"/>
        <v>16663</v>
      </c>
      <c r="O47" s="67">
        <f t="shared" si="2"/>
        <v>9581.0353658538443</v>
      </c>
      <c r="P47" s="7">
        <f t="shared" si="5"/>
        <v>392822.45000000764</v>
      </c>
      <c r="Q47" s="164">
        <f>Q46+N47+1</f>
        <v>217051.45000000019</v>
      </c>
      <c r="R47" s="29">
        <f t="shared" si="3"/>
        <v>105.808053191685</v>
      </c>
      <c r="S47" s="5">
        <f>SUM($Q$7:$Q47)/T47+1+14465-2-14488</f>
        <v>174105.03536585384</v>
      </c>
      <c r="T47" s="18">
        <v>41</v>
      </c>
      <c r="U47" s="138"/>
      <c r="V47" s="137"/>
      <c r="W47" s="105">
        <v>-3200801</v>
      </c>
      <c r="X47" s="167"/>
      <c r="Y47" s="156">
        <f t="shared" si="13"/>
        <v>-3200801</v>
      </c>
      <c r="Z47" s="217"/>
      <c r="AD47" s="1"/>
      <c r="AE47" s="1"/>
    </row>
    <row r="48" spans="2:31">
      <c r="B48" s="116">
        <v>45230</v>
      </c>
      <c r="C48" s="14" t="str">
        <f t="shared" si="0"/>
        <v/>
      </c>
      <c r="D48" s="87"/>
      <c r="E48" s="87">
        <v>50</v>
      </c>
      <c r="F48" s="23">
        <v>-3496610</v>
      </c>
      <c r="G48" s="26">
        <f>D48+E48+F48-E47-F47</f>
        <v>-6488</v>
      </c>
      <c r="H48" s="132">
        <v>300</v>
      </c>
      <c r="I48" s="25">
        <v>-17500</v>
      </c>
      <c r="J48" s="25">
        <v>-100</v>
      </c>
      <c r="K48" s="170">
        <f t="shared" si="9"/>
        <v>-17300</v>
      </c>
      <c r="L48" s="171">
        <v>-50</v>
      </c>
      <c r="M48" s="153"/>
      <c r="N48" s="149">
        <f t="shared" si="8"/>
        <v>-23838</v>
      </c>
      <c r="O48" s="67">
        <f t="shared" si="2"/>
        <v>10035.378571428757</v>
      </c>
      <c r="P48" s="7">
        <f t="shared" si="5"/>
        <v>421485.90000000782</v>
      </c>
      <c r="Q48" s="164">
        <f>Q47+N48-2</f>
        <v>193211.45000000019</v>
      </c>
      <c r="R48" s="29">
        <f t="shared" si="3"/>
        <v>106.08477682586769</v>
      </c>
      <c r="S48" s="5">
        <f>SUM($Q$7:$Q48)/T48+213-236</f>
        <v>174560.37857142877</v>
      </c>
      <c r="T48" s="18">
        <v>42</v>
      </c>
      <c r="U48" s="138"/>
      <c r="V48" s="137"/>
      <c r="W48" s="105">
        <v>-3183450</v>
      </c>
      <c r="X48" s="167"/>
      <c r="Y48" s="156">
        <f>Y47-K48-L48+1</f>
        <v>-3183450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'SEPT 2023 '!Q55</f>
        <v>212543.45000000019</v>
      </c>
    </row>
    <row r="53" spans="4:7">
      <c r="D53" s="138" t="s">
        <v>4</v>
      </c>
      <c r="E53" s="139"/>
      <c r="F53" s="143"/>
      <c r="G53" s="91">
        <f>'SEPT 2023 '!E55</f>
        <v>0</v>
      </c>
    </row>
    <row r="54" spans="4:7">
      <c r="D54" s="138" t="s">
        <v>60</v>
      </c>
      <c r="E54" s="144"/>
      <c r="F54" s="143"/>
      <c r="G54" s="91">
        <f>'SEPT 2023 '!F55</f>
        <v>-3616681</v>
      </c>
    </row>
    <row r="55" spans="4:7" ht="12.75" thickBot="1">
      <c r="D55" s="140" t="s">
        <v>46</v>
      </c>
      <c r="E55" s="145"/>
      <c r="F55" s="146"/>
      <c r="G55" s="158">
        <f>'SEPT 2023 '!W55</f>
        <v>-3223708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1ECE-387D-459E-8F2D-5A5ACD315906}">
  <sheetPr>
    <pageSetUpPr fitToPage="1"/>
  </sheetPr>
  <dimension ref="B1:IU65513"/>
  <sheetViews>
    <sheetView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8" sqref="Q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163886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45231</v>
      </c>
      <c r="C7" s="196" t="str">
        <f t="shared" ref="C7:C48" si="0">IF(OR(WEEKDAY(B7)=1,WEEKDAY(B7)=7),"F","")</f>
        <v/>
      </c>
      <c r="D7" s="197">
        <f>-10490+8127</f>
        <v>-2363</v>
      </c>
      <c r="E7" s="197">
        <v>0</v>
      </c>
      <c r="F7" s="198">
        <v>-3408271</v>
      </c>
      <c r="G7" s="199">
        <f>D7+E7+F7-G60-G61</f>
        <v>85926</v>
      </c>
      <c r="H7" s="132">
        <v>300</v>
      </c>
      <c r="I7" s="63">
        <v>21700</v>
      </c>
      <c r="J7" s="63">
        <v>-100</v>
      </c>
      <c r="K7" s="170">
        <f t="shared" ref="K7:K9" si="1">+H7+I7+J7</f>
        <v>21900</v>
      </c>
      <c r="L7" s="169">
        <v>48</v>
      </c>
      <c r="M7" s="203"/>
      <c r="N7" s="204">
        <f>L7+K7+G7+M7</f>
        <v>107874</v>
      </c>
      <c r="O7" s="205">
        <f t="shared" ref="O7:O48" si="2">P7/T7</f>
        <v>137499.45000000019</v>
      </c>
      <c r="P7" s="206">
        <f>(+$Q7-$Q$3)</f>
        <v>137499.45000000019</v>
      </c>
      <c r="Q7" s="207">
        <f>G59+N7+300</f>
        <v>301385.45000000019</v>
      </c>
      <c r="R7" s="208">
        <f t="shared" ref="R7:R55" si="3">$S7/$Q$3*100</f>
        <v>183.8994483970566</v>
      </c>
      <c r="S7" s="209">
        <f>$Q7</f>
        <v>301385.45000000019</v>
      </c>
      <c r="T7" s="210">
        <v>1</v>
      </c>
      <c r="U7" s="211">
        <f>B7</f>
        <v>45231</v>
      </c>
      <c r="V7" s="212">
        <v>1524.8</v>
      </c>
      <c r="W7" s="213">
        <v>-3205398</v>
      </c>
      <c r="X7" s="214">
        <f>AVERAGE(W7:W11)</f>
        <v>-3211421.4</v>
      </c>
      <c r="Y7" s="215">
        <f>G62-K7-L7</f>
        <v>-3205398</v>
      </c>
      <c r="Z7" s="216">
        <f>AVERAGE(Y7:Y13)</f>
        <v>-3212417.2857142859</v>
      </c>
      <c r="AA7" s="92"/>
    </row>
    <row r="8" spans="2:255">
      <c r="B8" s="116">
        <v>45232</v>
      </c>
      <c r="C8" s="14"/>
      <c r="D8" s="87"/>
      <c r="E8" s="128">
        <v>1</v>
      </c>
      <c r="F8" s="162">
        <v>-3473068</v>
      </c>
      <c r="G8" s="26">
        <f>D8+E8+F8-E7-F7</f>
        <v>-64796</v>
      </c>
      <c r="H8" s="132">
        <v>8300</v>
      </c>
      <c r="I8" s="63">
        <v>900</v>
      </c>
      <c r="J8" s="63">
        <v>-100</v>
      </c>
      <c r="K8" s="170">
        <f t="shared" si="1"/>
        <v>9100</v>
      </c>
      <c r="L8" s="171">
        <v>-46</v>
      </c>
      <c r="M8" s="153"/>
      <c r="N8" s="149">
        <f>L8+K8+G8+M8</f>
        <v>-55742</v>
      </c>
      <c r="O8" s="67">
        <f t="shared" si="2"/>
        <v>109628.45000000019</v>
      </c>
      <c r="P8" s="163">
        <f>(IF($Q8&lt;0,-$Q$3+P7,($Q8-$Q$3)+P7))</f>
        <v>219256.90000000037</v>
      </c>
      <c r="Q8" s="164">
        <f>Q7+N8</f>
        <v>245643.45000000019</v>
      </c>
      <c r="R8" s="29">
        <f t="shared" si="3"/>
        <v>166.8931147260902</v>
      </c>
      <c r="S8" s="165">
        <f>SUM($Q$7:$Q8)/T8</f>
        <v>273514.45000000019</v>
      </c>
      <c r="T8" s="166">
        <v>2</v>
      </c>
      <c r="U8" s="138">
        <f>B7+6</f>
        <v>45237</v>
      </c>
      <c r="V8" s="131"/>
      <c r="W8" s="105">
        <v>-3214452</v>
      </c>
      <c r="X8" s="167"/>
      <c r="Y8" s="156">
        <f>Y7-K8-L8</f>
        <v>-3214452</v>
      </c>
      <c r="Z8" s="217"/>
      <c r="AA8" s="92"/>
    </row>
    <row r="9" spans="2:255">
      <c r="B9" s="116">
        <v>45233</v>
      </c>
      <c r="C9" s="14" t="str">
        <f t="shared" si="0"/>
        <v/>
      </c>
      <c r="D9" s="87"/>
      <c r="E9" s="87">
        <v>0</v>
      </c>
      <c r="F9" s="23">
        <v>-3549252</v>
      </c>
      <c r="G9" s="26">
        <f>D9+E9+F9-E8-F8</f>
        <v>-76185</v>
      </c>
      <c r="H9" s="132">
        <v>300</v>
      </c>
      <c r="I9" s="63">
        <v>-2300</v>
      </c>
      <c r="J9" s="63">
        <v>-300</v>
      </c>
      <c r="K9" s="170">
        <f t="shared" si="1"/>
        <v>-2300</v>
      </c>
      <c r="L9" s="171">
        <v>-32</v>
      </c>
      <c r="M9" s="153"/>
      <c r="N9" s="149">
        <f>L9+K9+G9+M9</f>
        <v>-78517</v>
      </c>
      <c r="O9" s="67">
        <f t="shared" si="2"/>
        <v>74165.450000000186</v>
      </c>
      <c r="P9" s="163">
        <f t="shared" ref="P9" si="4">(IF($Q9&lt;0,-$Q$3+P8,($Q9-$Q$3)+P8))</f>
        <v>222496.35000000056</v>
      </c>
      <c r="Q9" s="164">
        <f>Q8+N9-1</f>
        <v>167125.45000000019</v>
      </c>
      <c r="R9" s="29">
        <f t="shared" si="3"/>
        <v>145.25490279828674</v>
      </c>
      <c r="S9" s="5">
        <f>SUM($Q$7:$Q9)/T9+1</f>
        <v>238052.45000000019</v>
      </c>
      <c r="T9" s="17">
        <v>3</v>
      </c>
      <c r="U9" s="4"/>
      <c r="V9" s="131"/>
      <c r="W9" s="105">
        <v>-3212419</v>
      </c>
      <c r="X9" s="167"/>
      <c r="Y9" s="156">
        <f>Y8-K9-L9+1-300</f>
        <v>-3212419</v>
      </c>
      <c r="Z9" s="217"/>
      <c r="AA9" s="92"/>
    </row>
    <row r="10" spans="2:255">
      <c r="B10" s="116">
        <v>45234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56433.950000000186</v>
      </c>
      <c r="P10" s="163">
        <f>(IF($Q10&lt;0,-$Q$3+P9,($Q10-$Q$3)+P9))</f>
        <v>225735.80000000075</v>
      </c>
      <c r="Q10" s="164">
        <f>Q9+N10</f>
        <v>167125.45000000019</v>
      </c>
      <c r="R10" s="29">
        <f t="shared" si="3"/>
        <v>134.43427138376686</v>
      </c>
      <c r="S10" s="5">
        <f>SUM($Q$7:$Q10)/T10-1</f>
        <v>220318.95000000019</v>
      </c>
      <c r="T10" s="17">
        <v>4</v>
      </c>
      <c r="U10" s="4"/>
      <c r="V10" s="131"/>
      <c r="W10" s="105">
        <v>-3212419</v>
      </c>
      <c r="X10" s="167"/>
      <c r="Y10" s="156">
        <f>Y9-K10-L10</f>
        <v>-3212419</v>
      </c>
      <c r="Z10" s="217"/>
      <c r="AA10" s="92"/>
    </row>
    <row r="11" spans="2:255">
      <c r="B11" s="116">
        <v>45235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45795.050000000185</v>
      </c>
      <c r="P11" s="163">
        <f t="shared" ref="P11:P55" si="5">(IF($Q11&lt;0,-$Q$3+P10,($Q11-$Q$3)+P10))</f>
        <v>228975.25000000093</v>
      </c>
      <c r="Q11" s="164">
        <f t="shared" ref="Q11:Q18" si="6">Q10+N11</f>
        <v>167125.45000000019</v>
      </c>
      <c r="R11" s="29">
        <f t="shared" si="3"/>
        <v>127.94323493159891</v>
      </c>
      <c r="S11" s="5">
        <f>SUM($Q$7:$Q11)/T11</f>
        <v>209681.05000000019</v>
      </c>
      <c r="T11" s="17">
        <v>5</v>
      </c>
      <c r="U11" s="27"/>
      <c r="V11" s="134"/>
      <c r="W11" s="105">
        <v>-3212419</v>
      </c>
      <c r="X11" s="167"/>
      <c r="Y11" s="156">
        <f t="shared" ref="Y11:Y39" si="7">Y10-K11-L11</f>
        <v>-3212419</v>
      </c>
      <c r="Z11" s="217"/>
      <c r="AA11" s="92"/>
    </row>
    <row r="12" spans="2:255">
      <c r="B12" s="116">
        <v>45236</v>
      </c>
      <c r="C12" s="14"/>
      <c r="D12" s="87"/>
      <c r="E12" s="87">
        <v>1</v>
      </c>
      <c r="F12" s="23">
        <v>-3546505</v>
      </c>
      <c r="G12" s="26">
        <f>D12+E12+F12-E9-F9</f>
        <v>2748</v>
      </c>
      <c r="H12" s="132">
        <v>300</v>
      </c>
      <c r="I12" s="63">
        <v>2600</v>
      </c>
      <c r="J12" s="63">
        <v>700</v>
      </c>
      <c r="K12" s="170">
        <f t="shared" ref="K12:K55" si="8">+H12+I12+J12</f>
        <v>3600</v>
      </c>
      <c r="L12" s="171">
        <v>-38</v>
      </c>
      <c r="M12" s="153"/>
      <c r="N12" s="149">
        <f t="shared" ref="N12:N48" si="9">L12+K12+G12+M12</f>
        <v>6310</v>
      </c>
      <c r="O12" s="67">
        <f t="shared" si="2"/>
        <v>39754.283333333522</v>
      </c>
      <c r="P12" s="163">
        <f t="shared" si="5"/>
        <v>238525.70000000112</v>
      </c>
      <c r="Q12" s="164">
        <f>Q11+N12+1</f>
        <v>173436.45000000019</v>
      </c>
      <c r="R12" s="29">
        <f t="shared" si="3"/>
        <v>124.25727843338268</v>
      </c>
      <c r="S12" s="5">
        <f>SUM($Q$7:$Q12)/T12</f>
        <v>203640.28333333353</v>
      </c>
      <c r="T12" s="17">
        <v>6</v>
      </c>
      <c r="U12" s="138">
        <f>B12</f>
        <v>45236</v>
      </c>
      <c r="V12" s="310">
        <v>1515.3</v>
      </c>
      <c r="W12" s="105">
        <v>-3215981</v>
      </c>
      <c r="X12" s="167">
        <f>AVERAGE(W12:W20)</f>
        <v>-3215719.111111111</v>
      </c>
      <c r="Y12" s="156">
        <f>Y11-K12-L12</f>
        <v>-3215981</v>
      </c>
      <c r="Z12" s="217">
        <f>AVERAGE(Y12:Y20)</f>
        <v>-3215719.111111111</v>
      </c>
      <c r="AA12" s="92"/>
    </row>
    <row r="13" spans="2:255">
      <c r="B13" s="116">
        <v>45237</v>
      </c>
      <c r="C13" s="14"/>
      <c r="D13" s="87"/>
      <c r="E13" s="87">
        <v>0</v>
      </c>
      <c r="F13" s="23">
        <v>-3508491</v>
      </c>
      <c r="G13" s="26">
        <f>D13+E13+F13-E12-F12</f>
        <v>38013</v>
      </c>
      <c r="H13" s="132">
        <v>300</v>
      </c>
      <c r="I13" s="63">
        <v>-3000</v>
      </c>
      <c r="J13" s="63">
        <v>600</v>
      </c>
      <c r="K13" s="170">
        <f t="shared" si="8"/>
        <v>-2100</v>
      </c>
      <c r="L13" s="171">
        <v>-49</v>
      </c>
      <c r="M13" s="153"/>
      <c r="N13" s="149">
        <f t="shared" si="9"/>
        <v>35864</v>
      </c>
      <c r="O13" s="67">
        <f t="shared" si="2"/>
        <v>40562.878571428759</v>
      </c>
      <c r="P13" s="163">
        <f t="shared" si="5"/>
        <v>283940.1500000013</v>
      </c>
      <c r="Q13" s="164">
        <f>Q12+N13</f>
        <v>209300.45000000019</v>
      </c>
      <c r="R13" s="29">
        <f t="shared" si="3"/>
        <v>124.75066727568478</v>
      </c>
      <c r="S13" s="5">
        <f>SUM($Q$7:$Q13)/T13</f>
        <v>204448.87857142877</v>
      </c>
      <c r="T13" s="17">
        <v>7</v>
      </c>
      <c r="U13" s="138">
        <f>B12+8</f>
        <v>45244</v>
      </c>
      <c r="V13" s="249"/>
      <c r="W13" s="105">
        <v>-3213833</v>
      </c>
      <c r="X13" s="167"/>
      <c r="Y13" s="156">
        <f>Y12-K13-L13-1</f>
        <v>-3213833</v>
      </c>
      <c r="Z13" s="217"/>
      <c r="AA13" s="92"/>
      <c r="AB13" s="92"/>
    </row>
    <row r="14" spans="2:255">
      <c r="B14" s="116">
        <v>45238</v>
      </c>
      <c r="C14" s="14"/>
      <c r="D14" s="87">
        <f>-8127+6850</f>
        <v>-1277</v>
      </c>
      <c r="E14" s="87">
        <v>48</v>
      </c>
      <c r="F14" s="23">
        <v>-3552967</v>
      </c>
      <c r="G14" s="26">
        <f>D14+E14+F14-E13-F13</f>
        <v>-45705</v>
      </c>
      <c r="H14" s="132">
        <v>300</v>
      </c>
      <c r="I14" s="63">
        <v>-500</v>
      </c>
      <c r="J14" s="63">
        <v>600</v>
      </c>
      <c r="K14" s="170">
        <f t="shared" si="8"/>
        <v>400</v>
      </c>
      <c r="L14" s="171">
        <v>-8</v>
      </c>
      <c r="M14" s="154"/>
      <c r="N14" s="149">
        <f>L14+K14+G14+M14</f>
        <v>-45313</v>
      </c>
      <c r="O14" s="67">
        <f>P14/T14+1</f>
        <v>35506.200000000186</v>
      </c>
      <c r="P14" s="163">
        <f t="shared" si="5"/>
        <v>284041.60000000149</v>
      </c>
      <c r="Q14" s="164">
        <f>Q13+N14</f>
        <v>163987.45000000019</v>
      </c>
      <c r="R14" s="29">
        <f t="shared" si="3"/>
        <v>121.66457171448457</v>
      </c>
      <c r="S14" s="5">
        <f>SUM($Q$7:$Q14)/T14</f>
        <v>199391.20000000019</v>
      </c>
      <c r="T14" s="17">
        <v>8</v>
      </c>
      <c r="U14" s="4"/>
      <c r="V14" s="4"/>
      <c r="W14" s="105">
        <v>-3214225</v>
      </c>
      <c r="X14" s="167"/>
      <c r="Y14" s="156">
        <f>Y13-K14-L14</f>
        <v>-3214225</v>
      </c>
      <c r="Z14" s="217"/>
      <c r="AA14" s="92"/>
    </row>
    <row r="15" spans="2:255">
      <c r="B15" s="116">
        <v>45239</v>
      </c>
      <c r="C15" s="14" t="str">
        <f t="shared" si="0"/>
        <v/>
      </c>
      <c r="D15" s="87"/>
      <c r="E15" s="87">
        <v>0</v>
      </c>
      <c r="F15" s="23">
        <v>-3552685</v>
      </c>
      <c r="G15" s="26">
        <f>D15+E15+F15-E14-F14</f>
        <v>234</v>
      </c>
      <c r="H15" s="132">
        <v>300</v>
      </c>
      <c r="I15" s="63">
        <v>-3200</v>
      </c>
      <c r="J15" s="63">
        <v>600</v>
      </c>
      <c r="K15" s="170">
        <f t="shared" si="8"/>
        <v>-2300</v>
      </c>
      <c r="L15" s="172">
        <v>4</v>
      </c>
      <c r="M15" s="153"/>
      <c r="N15" s="149">
        <f>L15+K15+G15+M15</f>
        <v>-2062</v>
      </c>
      <c r="O15" s="67">
        <f t="shared" si="2"/>
        <v>31339.116666666854</v>
      </c>
      <c r="P15" s="7">
        <f t="shared" si="5"/>
        <v>282052.05000000168</v>
      </c>
      <c r="Q15" s="164">
        <f>Q14+N15+1-30</f>
        <v>161896.45000000019</v>
      </c>
      <c r="R15" s="29">
        <f t="shared" si="3"/>
        <v>119.12250995610781</v>
      </c>
      <c r="S15" s="5">
        <f>SUM($Q$7:$Q15)/T15</f>
        <v>195225.11666666684</v>
      </c>
      <c r="T15" s="17">
        <v>9</v>
      </c>
      <c r="U15" s="4"/>
      <c r="V15" s="4"/>
      <c r="W15" s="105">
        <v>-3211900</v>
      </c>
      <c r="X15" s="167"/>
      <c r="Y15" s="156">
        <f>Y14-K15-L15+29</f>
        <v>-3211900</v>
      </c>
      <c r="Z15" s="217"/>
      <c r="AA15" s="92"/>
      <c r="AB15" s="92"/>
    </row>
    <row r="16" spans="2:255" s="69" customFormat="1">
      <c r="B16" s="116">
        <v>45240</v>
      </c>
      <c r="C16" s="14"/>
      <c r="D16" s="129"/>
      <c r="E16" s="87">
        <v>0</v>
      </c>
      <c r="F16" s="23">
        <v>-3560877</v>
      </c>
      <c r="G16" s="26">
        <f>D16+E16+F16-E15-F15</f>
        <v>-8192</v>
      </c>
      <c r="H16" s="132">
        <v>200</v>
      </c>
      <c r="I16" s="63">
        <v>390</v>
      </c>
      <c r="J16" s="63">
        <v>600</v>
      </c>
      <c r="K16" s="170">
        <f t="shared" si="8"/>
        <v>1190</v>
      </c>
      <c r="L16" s="172">
        <v>7</v>
      </c>
      <c r="M16" s="153"/>
      <c r="N16" s="152">
        <f>L16+K16+G16+M16</f>
        <v>-6995</v>
      </c>
      <c r="O16" s="67">
        <f t="shared" si="2"/>
        <v>27306.850000000188</v>
      </c>
      <c r="P16" s="70">
        <f t="shared" si="5"/>
        <v>273068.50000000186</v>
      </c>
      <c r="Q16" s="164">
        <f>Q15+N16+1</f>
        <v>154902.45000000019</v>
      </c>
      <c r="R16" s="71">
        <f t="shared" si="3"/>
        <v>116.66210048448322</v>
      </c>
      <c r="S16" s="72">
        <f>SUM($Q$7:$Q16)/T16</f>
        <v>191192.85000000018</v>
      </c>
      <c r="T16" s="73">
        <v>10</v>
      </c>
      <c r="U16" s="218"/>
      <c r="V16" s="133"/>
      <c r="W16" s="105">
        <v>-3213099</v>
      </c>
      <c r="X16" s="167"/>
      <c r="Y16" s="156">
        <f>Y15-K16-L16-2</f>
        <v>-3213099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45241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24007.722727272914</v>
      </c>
      <c r="P17" s="7">
        <f t="shared" si="5"/>
        <v>264084.95000000205</v>
      </c>
      <c r="Q17" s="164">
        <f t="shared" si="6"/>
        <v>154902.45000000019</v>
      </c>
      <c r="R17" s="29">
        <f t="shared" si="3"/>
        <v>114.64903818951765</v>
      </c>
      <c r="S17" s="5">
        <f>SUM($Q$7:$Q17)/T17</f>
        <v>187893.72272727292</v>
      </c>
      <c r="T17" s="18">
        <v>11</v>
      </c>
      <c r="U17" s="27"/>
      <c r="V17" s="136"/>
      <c r="W17" s="105">
        <v>-3213099</v>
      </c>
      <c r="X17" s="167"/>
      <c r="Y17" s="156">
        <f t="shared" si="7"/>
        <v>-3213099</v>
      </c>
      <c r="Z17" s="217"/>
      <c r="AA17" s="92"/>
      <c r="AC17" s="92"/>
    </row>
    <row r="18" spans="2:31">
      <c r="B18" s="116">
        <v>45242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21258.450000000186</v>
      </c>
      <c r="P18" s="7">
        <f t="shared" si="5"/>
        <v>255101.40000000224</v>
      </c>
      <c r="Q18" s="164">
        <f t="shared" si="6"/>
        <v>154902.45000000019</v>
      </c>
      <c r="R18" s="29">
        <f t="shared" si="3"/>
        <v>112.97148627704637</v>
      </c>
      <c r="S18" s="5">
        <f>SUM($Q$7:$Q18)/T18</f>
        <v>185144.45000000019</v>
      </c>
      <c r="T18" s="18">
        <v>12</v>
      </c>
      <c r="U18" s="27"/>
      <c r="V18" s="136"/>
      <c r="W18" s="105">
        <v>-3213099</v>
      </c>
      <c r="X18" s="167"/>
      <c r="Y18" s="156">
        <f t="shared" si="7"/>
        <v>-3213099</v>
      </c>
      <c r="Z18" s="217"/>
      <c r="AA18" s="92"/>
    </row>
    <row r="19" spans="2:31">
      <c r="B19" s="116">
        <v>45243</v>
      </c>
      <c r="C19" s="14" t="str">
        <f t="shared" si="0"/>
        <v/>
      </c>
      <c r="D19" s="87"/>
      <c r="E19" s="87">
        <v>1</v>
      </c>
      <c r="F19" s="23">
        <v>-3570163</v>
      </c>
      <c r="G19" s="26">
        <f>D19+E19+F19-E16-F16</f>
        <v>-9285</v>
      </c>
      <c r="H19" s="132">
        <v>300</v>
      </c>
      <c r="I19" s="63">
        <v>6400</v>
      </c>
      <c r="J19" s="63">
        <v>500</v>
      </c>
      <c r="K19" s="170">
        <f t="shared" si="8"/>
        <v>7200</v>
      </c>
      <c r="L19" s="171">
        <v>12</v>
      </c>
      <c r="M19" s="153"/>
      <c r="N19" s="149">
        <f t="shared" si="9"/>
        <v>-2073</v>
      </c>
      <c r="O19" s="67">
        <f t="shared" si="2"/>
        <v>18772.680769230956</v>
      </c>
      <c r="P19" s="7">
        <f t="shared" si="5"/>
        <v>244044.85000000242</v>
      </c>
      <c r="Q19" s="164">
        <f>Q18+N19</f>
        <v>152829.45000000019</v>
      </c>
      <c r="R19" s="29">
        <f t="shared" si="3"/>
        <v>111.45410881297424</v>
      </c>
      <c r="S19" s="5">
        <f>SUM($Q$7:$Q19)/T19-1</f>
        <v>182657.68076923097</v>
      </c>
      <c r="T19" s="18">
        <v>13</v>
      </c>
      <c r="U19" s="138">
        <f>B19</f>
        <v>45243</v>
      </c>
      <c r="V19" s="131">
        <v>1529.8</v>
      </c>
      <c r="W19" s="105">
        <v>-3220311</v>
      </c>
      <c r="X19" s="167">
        <f>AVERAGE(W20:W27)</f>
        <v>-3221256.875</v>
      </c>
      <c r="Y19" s="156">
        <f>Y18-K19-L19</f>
        <v>-3220311</v>
      </c>
      <c r="Z19" s="217">
        <f>AVERAGE(Y19:Y27)</f>
        <v>-3221151.777777778</v>
      </c>
      <c r="AA19" s="92"/>
      <c r="AD19" s="309"/>
    </row>
    <row r="20" spans="2:31">
      <c r="B20" s="116">
        <v>45244</v>
      </c>
      <c r="C20" s="14"/>
      <c r="D20" s="87"/>
      <c r="E20" s="87">
        <v>0</v>
      </c>
      <c r="F20" s="23">
        <v>-3573553</v>
      </c>
      <c r="G20" s="26">
        <f>D20+E20+F20-E19-F19</f>
        <v>-3391</v>
      </c>
      <c r="H20" s="132">
        <v>300</v>
      </c>
      <c r="I20" s="63">
        <v>4800</v>
      </c>
      <c r="J20" s="63">
        <v>500</v>
      </c>
      <c r="K20" s="170">
        <f t="shared" si="8"/>
        <v>5600</v>
      </c>
      <c r="L20" s="171">
        <v>15</v>
      </c>
      <c r="M20" s="153"/>
      <c r="N20" s="149">
        <f t="shared" si="9"/>
        <v>2224</v>
      </c>
      <c r="O20" s="67">
        <f t="shared" si="2"/>
        <v>16800.878571428759</v>
      </c>
      <c r="P20" s="7">
        <f t="shared" si="5"/>
        <v>235212.30000000261</v>
      </c>
      <c r="Q20" s="164">
        <f>Q19+N20</f>
        <v>155053.45000000019</v>
      </c>
      <c r="R20" s="29">
        <f t="shared" si="3"/>
        <v>110.250954060401</v>
      </c>
      <c r="S20" s="5">
        <f>SUM($Q$7:$Q20)/T20-1</f>
        <v>180685.87857142877</v>
      </c>
      <c r="T20" s="18">
        <v>14</v>
      </c>
      <c r="U20" s="138">
        <f>B19+8</f>
        <v>45251</v>
      </c>
      <c r="V20" s="131"/>
      <c r="W20" s="105">
        <v>-3225925</v>
      </c>
      <c r="X20" s="167"/>
      <c r="Y20" s="156">
        <f>Y19-K20-L20+1</f>
        <v>-3225925</v>
      </c>
      <c r="Z20" s="217"/>
      <c r="AA20" s="92"/>
      <c r="AB20" s="92"/>
    </row>
    <row r="21" spans="2:31">
      <c r="B21" s="116">
        <v>45245</v>
      </c>
      <c r="C21" s="14" t="str">
        <f t="shared" si="0"/>
        <v/>
      </c>
      <c r="D21" s="87">
        <f>-6850+7105</f>
        <v>255</v>
      </c>
      <c r="E21" s="87">
        <v>5</v>
      </c>
      <c r="F21" s="23">
        <v>-3564630</v>
      </c>
      <c r="G21" s="26">
        <f>D21+E21+F21-E20-F20</f>
        <v>9183</v>
      </c>
      <c r="H21" s="132">
        <v>400</v>
      </c>
      <c r="I21" s="63">
        <v>-5600</v>
      </c>
      <c r="J21" s="63">
        <v>400</v>
      </c>
      <c r="K21" s="170">
        <f>+H21+I21+J21</f>
        <v>-4800</v>
      </c>
      <c r="L21" s="171">
        <v>-34</v>
      </c>
      <c r="M21" s="153"/>
      <c r="N21" s="149">
        <f>L21+K21+G21+M21</f>
        <v>4349</v>
      </c>
      <c r="O21" s="67">
        <f t="shared" si="2"/>
        <v>15381.916666666853</v>
      </c>
      <c r="P21" s="7">
        <f t="shared" si="5"/>
        <v>230728.75000000279</v>
      </c>
      <c r="Q21" s="164">
        <f>Q20+N21</f>
        <v>159402.45000000019</v>
      </c>
      <c r="R21" s="29">
        <f t="shared" si="3"/>
        <v>109.38513153452207</v>
      </c>
      <c r="S21" s="5">
        <f>SUM($Q$7:$Q21)/T21-1</f>
        <v>179266.91666666686</v>
      </c>
      <c r="T21" s="18">
        <v>15</v>
      </c>
      <c r="U21" s="4"/>
      <c r="V21" s="131"/>
      <c r="W21" s="105">
        <v>-3221092</v>
      </c>
      <c r="X21" s="167"/>
      <c r="Y21" s="156">
        <f>Y20-K21-L21-1</f>
        <v>-3221092</v>
      </c>
      <c r="Z21" s="217"/>
      <c r="AA21" s="92"/>
    </row>
    <row r="22" spans="2:31">
      <c r="B22" s="116">
        <v>45246</v>
      </c>
      <c r="C22" s="14" t="str">
        <f t="shared" si="0"/>
        <v/>
      </c>
      <c r="D22" s="87"/>
      <c r="E22" s="87">
        <v>11</v>
      </c>
      <c r="F22" s="23">
        <v>-3573721</v>
      </c>
      <c r="G22" s="26">
        <f>D22+E22+F22-E21-F21</f>
        <v>-9085</v>
      </c>
      <c r="H22" s="132">
        <v>2800</v>
      </c>
      <c r="I22" s="63">
        <v>2350</v>
      </c>
      <c r="J22" s="63">
        <v>400</v>
      </c>
      <c r="K22" s="170">
        <f t="shared" si="8"/>
        <v>5550</v>
      </c>
      <c r="L22" s="171">
        <v>50</v>
      </c>
      <c r="M22" s="153"/>
      <c r="N22" s="149">
        <f>L22+K22+G22+M22</f>
        <v>-3485</v>
      </c>
      <c r="O22" s="67">
        <f t="shared" si="2"/>
        <v>13922.512500000186</v>
      </c>
      <c r="P22" s="7">
        <f t="shared" si="5"/>
        <v>222760.20000000298</v>
      </c>
      <c r="Q22" s="164">
        <f>Q21+N22</f>
        <v>155917.45000000019</v>
      </c>
      <c r="R22" s="29">
        <f t="shared" si="3"/>
        <v>108.49463193927498</v>
      </c>
      <c r="S22" s="5">
        <f>SUM($Q$7:$Q22)/T22-1</f>
        <v>177807.51250000019</v>
      </c>
      <c r="T22" s="18">
        <v>16</v>
      </c>
      <c r="U22" s="4"/>
      <c r="V22" s="131"/>
      <c r="W22" s="105">
        <v>-3226691</v>
      </c>
      <c r="X22" s="167"/>
      <c r="Y22" s="156">
        <f>Y21-K22-L22+1</f>
        <v>-3226691</v>
      </c>
      <c r="Z22" s="217"/>
      <c r="AA22" s="92"/>
    </row>
    <row r="23" spans="2:31">
      <c r="B23" s="116">
        <v>45247</v>
      </c>
      <c r="C23" s="14"/>
      <c r="D23" s="87"/>
      <c r="E23" s="87">
        <v>37</v>
      </c>
      <c r="F23" s="23">
        <v>-3564055</v>
      </c>
      <c r="G23" s="26">
        <f>D23+E23+F23-E22-F22</f>
        <v>9692</v>
      </c>
      <c r="H23" s="132">
        <v>200</v>
      </c>
      <c r="I23" s="63">
        <v>-3600</v>
      </c>
      <c r="J23" s="63">
        <v>400</v>
      </c>
      <c r="K23" s="170">
        <f>+H23+I23+J23</f>
        <v>-3000</v>
      </c>
      <c r="L23" s="171">
        <v>35</v>
      </c>
      <c r="M23" s="153"/>
      <c r="N23" s="149">
        <f>L23+K23+G23+M23</f>
        <v>6727</v>
      </c>
      <c r="O23" s="67">
        <f t="shared" si="2"/>
        <v>13030.508823529599</v>
      </c>
      <c r="P23" s="7">
        <f t="shared" si="5"/>
        <v>221518.65000000317</v>
      </c>
      <c r="Q23" s="164">
        <f>Q22+N23</f>
        <v>162644.45000000019</v>
      </c>
      <c r="R23" s="29">
        <f t="shared" si="3"/>
        <v>107.95095909566992</v>
      </c>
      <c r="S23" s="5">
        <f>SUM($Q$7:$Q23)/T23</f>
        <v>176916.50882352958</v>
      </c>
      <c r="T23" s="18">
        <v>17</v>
      </c>
      <c r="U23" s="27"/>
      <c r="V23" s="135"/>
      <c r="W23" s="105">
        <v>-3223726</v>
      </c>
      <c r="X23" s="167"/>
      <c r="Y23" s="156">
        <f>Y22-K23-L23</f>
        <v>-3223726</v>
      </c>
      <c r="Z23" s="217"/>
      <c r="AA23" s="92"/>
    </row>
    <row r="24" spans="2:31">
      <c r="B24" s="116">
        <v>45248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>
        <f t="shared" si="8"/>
        <v>0</v>
      </c>
      <c r="L24" s="171"/>
      <c r="M24" s="153"/>
      <c r="N24" s="149"/>
      <c r="O24" s="67">
        <f t="shared" si="2"/>
        <v>12237.616666666852</v>
      </c>
      <c r="P24" s="7">
        <f t="shared" si="5"/>
        <v>220277.10000000335</v>
      </c>
      <c r="Q24" s="164">
        <f t="shared" ref="Q24:Q25" si="10">Q23+N24</f>
        <v>162644.45000000019</v>
      </c>
      <c r="R24" s="29">
        <f t="shared" si="3"/>
        <v>107.46715196335674</v>
      </c>
      <c r="S24" s="5">
        <f>SUM($Q$7:$Q24)/T24</f>
        <v>176123.61666666684</v>
      </c>
      <c r="T24" s="18">
        <v>18</v>
      </c>
      <c r="U24" s="4"/>
      <c r="V24" s="135"/>
      <c r="W24" s="105">
        <v>-3223726</v>
      </c>
      <c r="X24" s="167"/>
      <c r="Y24" s="156">
        <f t="shared" si="7"/>
        <v>-3223726</v>
      </c>
      <c r="Z24" s="217"/>
      <c r="AA24" s="92"/>
      <c r="AD24" s="1"/>
      <c r="AE24" s="1"/>
    </row>
    <row r="25" spans="2:31">
      <c r="B25" s="116">
        <v>45249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>
        <f t="shared" si="8"/>
        <v>0</v>
      </c>
      <c r="L25" s="171"/>
      <c r="M25" s="153"/>
      <c r="N25" s="149"/>
      <c r="O25" s="67">
        <f t="shared" si="2"/>
        <v>11528.18684210545</v>
      </c>
      <c r="P25" s="7">
        <f t="shared" si="5"/>
        <v>219035.55000000354</v>
      </c>
      <c r="Q25" s="164">
        <f t="shared" si="10"/>
        <v>162644.45000000019</v>
      </c>
      <c r="R25" s="29">
        <f t="shared" si="3"/>
        <v>107.03427189760286</v>
      </c>
      <c r="S25" s="5">
        <f>SUM($Q$7:$Q25)/T25</f>
        <v>175414.18684210544</v>
      </c>
      <c r="T25" s="18">
        <v>19</v>
      </c>
      <c r="U25" s="4"/>
      <c r="V25" s="131"/>
      <c r="W25" s="105">
        <v>-3223726</v>
      </c>
      <c r="X25" s="167"/>
      <c r="Y25" s="156">
        <f t="shared" si="7"/>
        <v>-3223726</v>
      </c>
      <c r="Z25" s="217"/>
      <c r="AA25" s="92"/>
      <c r="AD25" s="1"/>
      <c r="AE25" s="1"/>
    </row>
    <row r="26" spans="2:31">
      <c r="B26" s="116">
        <v>45250</v>
      </c>
      <c r="C26" s="14"/>
      <c r="D26" s="87"/>
      <c r="E26" s="87">
        <v>30</v>
      </c>
      <c r="F26" s="23">
        <v>-3559427</v>
      </c>
      <c r="G26" s="26">
        <f>D26+E26+F26-E23-F23</f>
        <v>4621</v>
      </c>
      <c r="H26" s="132">
        <v>200</v>
      </c>
      <c r="I26" s="63">
        <v>-2050</v>
      </c>
      <c r="J26" s="63">
        <v>200</v>
      </c>
      <c r="K26" s="170">
        <f t="shared" si="8"/>
        <v>-1650</v>
      </c>
      <c r="L26" s="171">
        <v>-1</v>
      </c>
      <c r="M26" s="153"/>
      <c r="N26" s="149">
        <f t="shared" si="9"/>
        <v>2970</v>
      </c>
      <c r="O26" s="67">
        <f t="shared" si="2"/>
        <v>11038.200000000186</v>
      </c>
      <c r="P26" s="7">
        <f t="shared" si="5"/>
        <v>220764.00000000373</v>
      </c>
      <c r="Q26" s="164">
        <f>Q25+N26</f>
        <v>165614.45000000019</v>
      </c>
      <c r="R26" s="29">
        <f t="shared" si="3"/>
        <v>106.73407124464578</v>
      </c>
      <c r="S26" s="5">
        <f>SUM($Q$7:$Q26)/T26-2</f>
        <v>174922.20000000019</v>
      </c>
      <c r="T26" s="18">
        <v>20</v>
      </c>
      <c r="U26" s="138">
        <f>B26</f>
        <v>45250</v>
      </c>
      <c r="V26" s="131">
        <v>1528.1</v>
      </c>
      <c r="W26" s="105">
        <v>-3222075</v>
      </c>
      <c r="X26" s="167">
        <f>AVERAGE(W26:W34)</f>
        <v>-3203997.5555555555</v>
      </c>
      <c r="Y26" s="156">
        <f>Y25-K26-L26</f>
        <v>-3222075</v>
      </c>
      <c r="Z26" s="217">
        <f>AVERAGE(Y26:Y34)</f>
        <v>-3203886.4444444445</v>
      </c>
      <c r="AC26" s="92"/>
      <c r="AD26" s="1"/>
      <c r="AE26" s="1"/>
    </row>
    <row r="27" spans="2:31">
      <c r="B27" s="116">
        <v>45251</v>
      </c>
      <c r="C27" s="14" t="str">
        <f t="shared" si="0"/>
        <v/>
      </c>
      <c r="D27" s="87"/>
      <c r="E27" s="87">
        <v>37</v>
      </c>
      <c r="F27" s="23">
        <v>-3544902</v>
      </c>
      <c r="G27" s="26">
        <f>D27+E27+F27-E26-F26</f>
        <v>14532</v>
      </c>
      <c r="H27" s="132">
        <v>300</v>
      </c>
      <c r="I27" s="63">
        <v>-19500</v>
      </c>
      <c r="J27" s="63">
        <v>200</v>
      </c>
      <c r="K27" s="170">
        <f t="shared" si="8"/>
        <v>-19000</v>
      </c>
      <c r="L27" s="171">
        <v>18</v>
      </c>
      <c r="M27" s="153"/>
      <c r="N27" s="149">
        <f>L27+K27+G27+M27</f>
        <v>-4450</v>
      </c>
      <c r="O27" s="67">
        <f t="shared" si="2"/>
        <v>10383.069047619234</v>
      </c>
      <c r="P27" s="7">
        <f t="shared" si="5"/>
        <v>218044.45000000391</v>
      </c>
      <c r="Q27" s="164">
        <f>Q26+N27+2</f>
        <v>161166.45000000019</v>
      </c>
      <c r="R27" s="29">
        <f t="shared" si="3"/>
        <v>106.30625498677082</v>
      </c>
      <c r="S27" s="5">
        <f>SUM($Q$7:$Q27)/T27-48</f>
        <v>174221.06904761924</v>
      </c>
      <c r="T27" s="18">
        <v>21</v>
      </c>
      <c r="U27" s="138">
        <f>B28+6</f>
        <v>45258</v>
      </c>
      <c r="V27" s="159"/>
      <c r="W27" s="105">
        <v>-3203094</v>
      </c>
      <c r="X27" s="167"/>
      <c r="Y27" s="156">
        <f>Y26-K27-L27-1</f>
        <v>-3203094</v>
      </c>
      <c r="Z27" s="217"/>
      <c r="AA27" s="92"/>
      <c r="AD27" s="1"/>
      <c r="AE27" s="1"/>
    </row>
    <row r="28" spans="2:31">
      <c r="B28" s="116">
        <v>45252</v>
      </c>
      <c r="C28" s="14" t="str">
        <f t="shared" si="0"/>
        <v/>
      </c>
      <c r="D28" s="87">
        <f>-7105+7335</f>
        <v>230</v>
      </c>
      <c r="E28" s="87">
        <v>0</v>
      </c>
      <c r="F28" s="23">
        <v>-3542221</v>
      </c>
      <c r="G28" s="26">
        <f>D28+E28+F28-E27-F27</f>
        <v>2874</v>
      </c>
      <c r="H28" s="132">
        <v>300</v>
      </c>
      <c r="I28" s="63">
        <v>-6000</v>
      </c>
      <c r="J28" s="63">
        <v>100</v>
      </c>
      <c r="K28" s="170">
        <f t="shared" si="8"/>
        <v>-5600</v>
      </c>
      <c r="L28" s="171">
        <v>-2</v>
      </c>
      <c r="M28" s="153"/>
      <c r="N28" s="149">
        <f>L28+K28+G28+M28</f>
        <v>-2728</v>
      </c>
      <c r="O28" s="67">
        <f t="shared" si="2"/>
        <v>9663.4045454547322</v>
      </c>
      <c r="P28" s="7">
        <f t="shared" si="5"/>
        <v>212594.9000000041</v>
      </c>
      <c r="Q28" s="164">
        <f>Q27+N28-2</f>
        <v>158436.45000000019</v>
      </c>
      <c r="R28" s="29">
        <f t="shared" si="3"/>
        <v>105.89580839452715</v>
      </c>
      <c r="S28" s="5">
        <f>SUM($Q$7:$Q28)/T28-1</f>
        <v>173548.40454545474</v>
      </c>
      <c r="T28" s="18">
        <v>22</v>
      </c>
      <c r="U28" s="4"/>
      <c r="V28" s="131"/>
      <c r="W28" s="105">
        <v>-3197491</v>
      </c>
      <c r="X28" s="167"/>
      <c r="Y28" s="156">
        <f>Y27-K28-L28+1</f>
        <v>-3197491</v>
      </c>
      <c r="Z28" s="217"/>
      <c r="AA28" s="92"/>
      <c r="AD28" s="1"/>
      <c r="AE28" s="1"/>
    </row>
    <row r="29" spans="2:31">
      <c r="B29" s="116">
        <v>45253</v>
      </c>
      <c r="C29" s="14" t="str">
        <f t="shared" si="0"/>
        <v/>
      </c>
      <c r="D29" s="87"/>
      <c r="E29" s="87">
        <v>0</v>
      </c>
      <c r="F29" s="23">
        <v>-3544308</v>
      </c>
      <c r="G29" s="26">
        <f>D29+E29+F29-E28-F28</f>
        <v>-2087</v>
      </c>
      <c r="H29" s="132">
        <v>2800</v>
      </c>
      <c r="I29" s="63">
        <v>250</v>
      </c>
      <c r="J29" s="63">
        <v>100</v>
      </c>
      <c r="K29" s="170">
        <f t="shared" si="8"/>
        <v>3150</v>
      </c>
      <c r="L29" s="171">
        <v>1</v>
      </c>
      <c r="M29" s="153"/>
      <c r="N29" s="149">
        <f>L29+K29+G29+M29</f>
        <v>1064</v>
      </c>
      <c r="O29" s="67">
        <f t="shared" si="2"/>
        <v>9052.5804347827943</v>
      </c>
      <c r="P29" s="7">
        <f t="shared" si="5"/>
        <v>208209.35000000428</v>
      </c>
      <c r="Q29" s="164">
        <f>Q28+N29</f>
        <v>159500.45000000019</v>
      </c>
      <c r="R29" s="29">
        <f t="shared" si="3"/>
        <v>105.52309558765411</v>
      </c>
      <c r="S29" s="5">
        <f>SUM($Q$7:$Q29)/T29-1</f>
        <v>172937.58043478281</v>
      </c>
      <c r="T29" s="18">
        <v>23</v>
      </c>
      <c r="U29" s="4"/>
      <c r="V29" s="131"/>
      <c r="W29" s="105">
        <v>-3200642</v>
      </c>
      <c r="X29" s="167"/>
      <c r="Y29" s="156">
        <f>Y28-K29-L29</f>
        <v>-3200642</v>
      </c>
      <c r="Z29" s="217"/>
      <c r="AA29" s="92"/>
      <c r="AD29" s="1"/>
      <c r="AE29" s="1"/>
    </row>
    <row r="30" spans="2:31">
      <c r="B30" s="116">
        <v>45254</v>
      </c>
      <c r="C30" s="14" t="str">
        <f t="shared" si="0"/>
        <v/>
      </c>
      <c r="D30" s="87"/>
      <c r="E30" s="87">
        <v>6</v>
      </c>
      <c r="F30" s="23">
        <v>-3549323</v>
      </c>
      <c r="G30" s="26">
        <f>D30+E30+F30-E29-F29</f>
        <v>-5009</v>
      </c>
      <c r="H30" s="132">
        <v>300</v>
      </c>
      <c r="I30" s="25">
        <v>2100</v>
      </c>
      <c r="J30" s="25">
        <v>100</v>
      </c>
      <c r="K30" s="170">
        <f t="shared" si="8"/>
        <v>2500</v>
      </c>
      <c r="L30" s="171">
        <v>-14</v>
      </c>
      <c r="M30" s="153"/>
      <c r="N30" s="149">
        <f>L30+K30+G30+M30</f>
        <v>-2523</v>
      </c>
      <c r="O30" s="67">
        <f t="shared" si="2"/>
        <v>8387.5333333335202</v>
      </c>
      <c r="P30" s="7">
        <f t="shared" si="5"/>
        <v>201300.80000000447</v>
      </c>
      <c r="Q30" s="164">
        <f>Q29+N30</f>
        <v>156977.45000000019</v>
      </c>
      <c r="R30" s="29">
        <f t="shared" si="3"/>
        <v>105.12095806434567</v>
      </c>
      <c r="S30" s="5">
        <f>SUM($Q$7:$Q30)/T30+5</f>
        <v>172278.53333333353</v>
      </c>
      <c r="T30" s="18">
        <v>24</v>
      </c>
      <c r="U30" s="4"/>
      <c r="V30" s="131"/>
      <c r="W30" s="105">
        <v>-3203128</v>
      </c>
      <c r="X30" s="167"/>
      <c r="Y30" s="156">
        <f>Y29-K30-L30</f>
        <v>-3203128</v>
      </c>
      <c r="Z30" s="217"/>
      <c r="AA30" s="92"/>
      <c r="AD30" s="1"/>
      <c r="AE30" s="1"/>
    </row>
    <row r="31" spans="2:31">
      <c r="B31" s="116">
        <v>45255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/>
      <c r="O31" s="67">
        <f>P31/T31</f>
        <v>7775.690000000186</v>
      </c>
      <c r="P31" s="7">
        <f t="shared" si="5"/>
        <v>194392.25000000466</v>
      </c>
      <c r="Q31" s="164">
        <f t="shared" ref="Q31:Q39" si="11">Q30+N31</f>
        <v>156977.45000000019</v>
      </c>
      <c r="R31" s="29">
        <f t="shared" si="3"/>
        <v>104.74396226645362</v>
      </c>
      <c r="S31" s="5">
        <f>SUM($Q$7:$Q31)/T31-1</f>
        <v>171660.69000000018</v>
      </c>
      <c r="T31" s="18">
        <v>25</v>
      </c>
      <c r="U31" s="4"/>
      <c r="V31" s="137"/>
      <c r="W31" s="105">
        <v>-3203128</v>
      </c>
      <c r="X31" s="167"/>
      <c r="Y31" s="156">
        <f t="shared" si="7"/>
        <v>-3203128</v>
      </c>
      <c r="Z31" s="217"/>
      <c r="AA31" s="92"/>
      <c r="AB31" s="92"/>
      <c r="AD31" s="1"/>
      <c r="AE31" s="1"/>
    </row>
    <row r="32" spans="2:31">
      <c r="B32" s="116">
        <v>45256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8"/>
        <v>0</v>
      </c>
      <c r="L32" s="171"/>
      <c r="M32" s="153"/>
      <c r="N32" s="149"/>
      <c r="O32" s="67">
        <f t="shared" si="2"/>
        <v>7210.9115384617244</v>
      </c>
      <c r="P32" s="7">
        <f t="shared" si="5"/>
        <v>187483.70000000484</v>
      </c>
      <c r="Q32" s="164">
        <f t="shared" si="11"/>
        <v>156977.45000000019</v>
      </c>
      <c r="R32" s="29">
        <f t="shared" si="3"/>
        <v>104.3993456051534</v>
      </c>
      <c r="S32" s="5">
        <f>SUM($Q$7:$Q32)/T32-1</f>
        <v>171095.91153846172</v>
      </c>
      <c r="T32" s="18">
        <v>26</v>
      </c>
      <c r="U32" s="27"/>
      <c r="V32" s="137"/>
      <c r="W32" s="105">
        <v>-3203128</v>
      </c>
      <c r="X32" s="167"/>
      <c r="Y32" s="156">
        <f t="shared" si="7"/>
        <v>-3203128</v>
      </c>
      <c r="Z32" s="217"/>
      <c r="AD32" s="1"/>
      <c r="AE32" s="1"/>
    </row>
    <row r="33" spans="2:31">
      <c r="B33" s="116">
        <v>45257</v>
      </c>
      <c r="C33" s="14" t="str">
        <f t="shared" si="0"/>
        <v/>
      </c>
      <c r="D33" s="87"/>
      <c r="E33" s="87">
        <v>21</v>
      </c>
      <c r="F33" s="23">
        <v>-3544450</v>
      </c>
      <c r="G33" s="26">
        <f>D33+E33+F33-E30-F30</f>
        <v>4888</v>
      </c>
      <c r="H33" s="132">
        <v>300</v>
      </c>
      <c r="I33" s="25">
        <v>1500</v>
      </c>
      <c r="J33" s="25">
        <v>-500</v>
      </c>
      <c r="K33" s="170">
        <f t="shared" si="8"/>
        <v>1300</v>
      </c>
      <c r="L33" s="320">
        <v>9</v>
      </c>
      <c r="M33" s="153"/>
      <c r="N33" s="149">
        <f t="shared" si="9"/>
        <v>6197</v>
      </c>
      <c r="O33" s="67">
        <f t="shared" si="2"/>
        <v>6917.4870370372237</v>
      </c>
      <c r="P33" s="7">
        <f t="shared" si="5"/>
        <v>186772.15000000503</v>
      </c>
      <c r="Q33" s="164">
        <f>Q32+N33</f>
        <v>163174.45000000019</v>
      </c>
      <c r="R33" s="29">
        <f t="shared" si="3"/>
        <v>104.19833728142565</v>
      </c>
      <c r="S33" s="5">
        <f>SUM($Q$7:$Q33)/T33-37</f>
        <v>170766.48703703724</v>
      </c>
      <c r="T33" s="18">
        <v>27</v>
      </c>
      <c r="U33" s="138">
        <f>B33</f>
        <v>45257</v>
      </c>
      <c r="V33" s="131">
        <v>1500.4</v>
      </c>
      <c r="W33" s="105">
        <v>-3205436</v>
      </c>
      <c r="X33" s="167">
        <f>AVERAGE(W33:W41)</f>
        <v>-3208595.6666666665</v>
      </c>
      <c r="Y33" s="156">
        <f>Y32-K33-L33+1</f>
        <v>-3204436</v>
      </c>
      <c r="Z33" s="217">
        <f>AVERAGE(Y33:Y41)</f>
        <v>-3208494.777777778</v>
      </c>
      <c r="AD33" s="1"/>
      <c r="AE33" s="1"/>
    </row>
    <row r="34" spans="2:31">
      <c r="B34" s="116">
        <v>45258</v>
      </c>
      <c r="C34" s="14" t="str">
        <f t="shared" si="0"/>
        <v/>
      </c>
      <c r="D34" s="87"/>
      <c r="E34" s="87">
        <v>55</v>
      </c>
      <c r="F34" s="23">
        <v>-3528938</v>
      </c>
      <c r="G34" s="26">
        <f>D34+E34+F34-E33-F33</f>
        <v>15546</v>
      </c>
      <c r="H34" s="132">
        <v>300</v>
      </c>
      <c r="I34" s="25">
        <v>-6400</v>
      </c>
      <c r="J34" s="25">
        <v>-500</v>
      </c>
      <c r="K34" s="170">
        <f t="shared" si="8"/>
        <v>-6600</v>
      </c>
      <c r="L34" s="171">
        <v>21</v>
      </c>
      <c r="M34" s="153"/>
      <c r="N34" s="149">
        <f>L34+K34+G34+M34</f>
        <v>8967</v>
      </c>
      <c r="O34" s="67">
        <f t="shared" si="2"/>
        <v>6965.2000000001863</v>
      </c>
      <c r="P34" s="7">
        <f t="shared" si="5"/>
        <v>195025.60000000522</v>
      </c>
      <c r="Q34" s="164">
        <f>Q33+N34-2</f>
        <v>172139.45000000019</v>
      </c>
      <c r="R34" s="29">
        <f t="shared" si="3"/>
        <v>104.24941727786398</v>
      </c>
      <c r="S34" s="5">
        <f>SUM($Q$7:$Q34)/T34-1</f>
        <v>170850.20000000019</v>
      </c>
      <c r="T34" s="18">
        <v>28</v>
      </c>
      <c r="U34" s="138">
        <f>B33+8</f>
        <v>45265</v>
      </c>
      <c r="V34" s="131"/>
      <c r="W34" s="105">
        <v>-3197856</v>
      </c>
      <c r="X34" s="167"/>
      <c r="Y34" s="156">
        <f>Y33-K34-L34+1</f>
        <v>-3197856</v>
      </c>
      <c r="Z34" s="217"/>
      <c r="AA34" s="92"/>
      <c r="AD34" s="1"/>
      <c r="AE34" s="1"/>
    </row>
    <row r="35" spans="2:31">
      <c r="B35" s="116">
        <v>45259</v>
      </c>
      <c r="C35" s="14" t="str">
        <f t="shared" si="0"/>
        <v/>
      </c>
      <c r="D35" s="87">
        <f>-7335+8472</f>
        <v>1137</v>
      </c>
      <c r="E35" s="87">
        <v>30</v>
      </c>
      <c r="F35" s="23">
        <v>-3545805</v>
      </c>
      <c r="G35" s="26">
        <f>D35+E35+F35-E34-F34</f>
        <v>-15755</v>
      </c>
      <c r="H35" s="132">
        <v>300</v>
      </c>
      <c r="I35" s="25">
        <v>2200</v>
      </c>
      <c r="J35" s="25">
        <v>-500</v>
      </c>
      <c r="K35" s="170">
        <f t="shared" si="8"/>
        <v>2000</v>
      </c>
      <c r="L35" s="171">
        <v>-12</v>
      </c>
      <c r="M35" s="153"/>
      <c r="N35" s="149">
        <f t="shared" si="9"/>
        <v>-13767</v>
      </c>
      <c r="O35" s="67">
        <f t="shared" si="2"/>
        <v>6534.8982758622551</v>
      </c>
      <c r="P35" s="7">
        <f t="shared" si="5"/>
        <v>189512.0500000054</v>
      </c>
      <c r="Q35" s="164">
        <f>Q34+N35</f>
        <v>158372.45000000019</v>
      </c>
      <c r="R35" s="29">
        <f t="shared" si="3"/>
        <v>103.98746584568678</v>
      </c>
      <c r="S35" s="5">
        <f>SUM($Q$7:$Q35)/T35</f>
        <v>170420.89827586224</v>
      </c>
      <c r="T35" s="18">
        <v>29</v>
      </c>
      <c r="U35" s="4"/>
      <c r="V35" s="131"/>
      <c r="W35" s="105">
        <v>-3199845</v>
      </c>
      <c r="X35" s="167"/>
      <c r="Y35" s="156">
        <f>Y34-K35-L35-1</f>
        <v>-3199845</v>
      </c>
      <c r="Z35" s="217"/>
      <c r="AA35" s="92"/>
      <c r="AD35" s="1"/>
      <c r="AE35" s="1"/>
    </row>
    <row r="36" spans="2:31">
      <c r="B36" s="116">
        <v>45260</v>
      </c>
      <c r="C36" s="14" t="str">
        <f t="shared" si="0"/>
        <v/>
      </c>
      <c r="D36" s="87">
        <f>-2205+2333</f>
        <v>128</v>
      </c>
      <c r="E36" s="87">
        <v>34</v>
      </c>
      <c r="F36" s="23">
        <v>-3521735</v>
      </c>
      <c r="G36" s="26">
        <f>D36+E36+F36-E35-F35</f>
        <v>24202</v>
      </c>
      <c r="H36" s="132">
        <v>300</v>
      </c>
      <c r="I36" s="25">
        <v>-14000</v>
      </c>
      <c r="J36" s="25">
        <v>-500</v>
      </c>
      <c r="K36" s="170">
        <f t="shared" si="8"/>
        <v>-14200</v>
      </c>
      <c r="L36" s="171">
        <v>12</v>
      </c>
      <c r="M36" s="153"/>
      <c r="N36" s="149">
        <f t="shared" si="9"/>
        <v>10014</v>
      </c>
      <c r="O36" s="67">
        <f t="shared" si="2"/>
        <v>6467.0833333335195</v>
      </c>
      <c r="P36" s="7">
        <f t="shared" si="5"/>
        <v>194012.50000000559</v>
      </c>
      <c r="Q36" s="164">
        <f>Q35+N36</f>
        <v>168386.45000000019</v>
      </c>
      <c r="R36" s="29">
        <f t="shared" si="3"/>
        <v>103.94547632704045</v>
      </c>
      <c r="S36" s="5">
        <f>SUM($Q$7:$Q36)/T36-1</f>
        <v>170352.08333333352</v>
      </c>
      <c r="T36" s="18">
        <v>30</v>
      </c>
      <c r="U36" s="4"/>
      <c r="V36" s="136"/>
      <c r="W36" s="105">
        <v>-3185565</v>
      </c>
      <c r="X36" s="167"/>
      <c r="Y36" s="156">
        <f>Y35-K36-L36</f>
        <v>-3185657</v>
      </c>
      <c r="Z36" s="217"/>
      <c r="AD36" s="1"/>
      <c r="AE36" s="1"/>
    </row>
    <row r="37" spans="2:31">
      <c r="B37" s="116">
        <v>45261</v>
      </c>
      <c r="C37" s="14"/>
      <c r="D37" s="87"/>
      <c r="E37" s="87">
        <v>0</v>
      </c>
      <c r="F37" s="23">
        <v>-3559175</v>
      </c>
      <c r="G37" s="26">
        <f>D37+E37+F37-E36-F36</f>
        <v>-37474</v>
      </c>
      <c r="H37" s="132">
        <v>15300</v>
      </c>
      <c r="I37" s="25">
        <v>17200</v>
      </c>
      <c r="J37" s="25">
        <v>-500</v>
      </c>
      <c r="K37" s="170">
        <f t="shared" si="8"/>
        <v>32000</v>
      </c>
      <c r="L37" s="171">
        <v>49</v>
      </c>
      <c r="M37" s="153"/>
      <c r="N37" s="149">
        <f t="shared" si="9"/>
        <v>-5425</v>
      </c>
      <c r="O37" s="67">
        <f t="shared" si="2"/>
        <v>6228.6435483872829</v>
      </c>
      <c r="P37" s="7">
        <f t="shared" si="5"/>
        <v>193087.95000000577</v>
      </c>
      <c r="Q37" s="164">
        <f>Q36+N37</f>
        <v>162961.45000000019</v>
      </c>
      <c r="R37" s="29">
        <f t="shared" si="3"/>
        <v>103.80120544060338</v>
      </c>
      <c r="S37" s="5">
        <f>SUM($Q$7:$Q37)/T37+1</f>
        <v>170115.64354838728</v>
      </c>
      <c r="T37" s="18">
        <v>31</v>
      </c>
      <c r="U37" s="27"/>
      <c r="V37" s="137"/>
      <c r="W37" s="105">
        <v>-3217706</v>
      </c>
      <c r="X37" s="167"/>
      <c r="Y37" s="156">
        <f>Y36-K37-L37</f>
        <v>-3217706</v>
      </c>
      <c r="Z37" s="217"/>
      <c r="AA37" s="92"/>
      <c r="AD37" s="1"/>
      <c r="AE37" s="1"/>
    </row>
    <row r="38" spans="2:31">
      <c r="B38" s="116">
        <v>45262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8"/>
        <v>0</v>
      </c>
      <c r="L38" s="171"/>
      <c r="M38" s="153"/>
      <c r="N38" s="149"/>
      <c r="O38" s="67">
        <f t="shared" si="2"/>
        <v>6005.1062500001863</v>
      </c>
      <c r="P38" s="7">
        <f t="shared" si="5"/>
        <v>192163.40000000596</v>
      </c>
      <c r="Q38" s="164">
        <f t="shared" si="11"/>
        <v>162961.45000000019</v>
      </c>
      <c r="R38" s="29">
        <f t="shared" si="3"/>
        <v>103.66419721635782</v>
      </c>
      <c r="S38" s="5">
        <f>SUM($Q$7:$Q38)/T38</f>
        <v>169891.10625000019</v>
      </c>
      <c r="T38" s="18">
        <v>32</v>
      </c>
      <c r="U38" s="27"/>
      <c r="V38" s="137"/>
      <c r="W38" s="105">
        <v>-3217706</v>
      </c>
      <c r="X38" s="167"/>
      <c r="Y38" s="156">
        <f t="shared" si="7"/>
        <v>-3217706</v>
      </c>
      <c r="Z38" s="217"/>
      <c r="AD38" s="1"/>
      <c r="AE38" s="1"/>
    </row>
    <row r="39" spans="2:31">
      <c r="B39" s="116">
        <v>45263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8"/>
        <v>0</v>
      </c>
      <c r="L39" s="171"/>
      <c r="M39" s="153"/>
      <c r="N39" s="149"/>
      <c r="O39" s="67">
        <f t="shared" si="2"/>
        <v>5795.1166666668532</v>
      </c>
      <c r="P39" s="7">
        <f t="shared" si="5"/>
        <v>191238.85000000615</v>
      </c>
      <c r="Q39" s="164">
        <f t="shared" si="11"/>
        <v>162961.45000000019</v>
      </c>
      <c r="R39" s="29">
        <f t="shared" si="3"/>
        <v>103.53606572048059</v>
      </c>
      <c r="S39" s="5">
        <f>SUM($Q$7:$Q39)/T39</f>
        <v>169681.11666666684</v>
      </c>
      <c r="T39" s="18">
        <v>33</v>
      </c>
      <c r="U39" s="27"/>
      <c r="V39" s="137"/>
      <c r="W39" s="105">
        <v>-3217706</v>
      </c>
      <c r="X39" s="167"/>
      <c r="Y39" s="156">
        <f t="shared" si="7"/>
        <v>-3217706</v>
      </c>
      <c r="Z39" s="217"/>
      <c r="AD39" s="1"/>
      <c r="AE39" s="1"/>
    </row>
    <row r="40" spans="2:31">
      <c r="B40" s="116">
        <v>45264</v>
      </c>
      <c r="C40" s="14"/>
      <c r="D40" s="87"/>
      <c r="E40" s="87">
        <v>0</v>
      </c>
      <c r="F40" s="23">
        <v>-3561871</v>
      </c>
      <c r="G40" s="26">
        <f>D40+E40+F40-E37-F37</f>
        <v>-2696</v>
      </c>
      <c r="H40" s="132">
        <v>300</v>
      </c>
      <c r="I40" s="25">
        <v>-3200</v>
      </c>
      <c r="J40" s="25">
        <v>-900</v>
      </c>
      <c r="K40" s="170">
        <f t="shared" si="8"/>
        <v>-3800</v>
      </c>
      <c r="L40" s="171">
        <v>31</v>
      </c>
      <c r="M40" s="153"/>
      <c r="N40" s="149">
        <f t="shared" si="9"/>
        <v>-6465</v>
      </c>
      <c r="O40" s="67">
        <f t="shared" si="2"/>
        <v>5407.2735294119511</v>
      </c>
      <c r="P40" s="7">
        <f t="shared" si="5"/>
        <v>183847.30000000633</v>
      </c>
      <c r="Q40" s="164">
        <f>Q39+N40-2</f>
        <v>156494.45000000019</v>
      </c>
      <c r="R40" s="29">
        <f t="shared" si="3"/>
        <v>103.29880131885089</v>
      </c>
      <c r="S40" s="5">
        <f>SUM($Q$7:$Q40)/T40-1</f>
        <v>169292.27352941196</v>
      </c>
      <c r="T40" s="18">
        <v>34</v>
      </c>
      <c r="U40" s="138">
        <f>B40</f>
        <v>45264</v>
      </c>
      <c r="V40" s="131">
        <v>1358.6</v>
      </c>
      <c r="W40" s="105">
        <v>-3213935</v>
      </c>
      <c r="X40" s="167">
        <f>AVERAGE(W40:W48)</f>
        <v>-3226917.5555555555</v>
      </c>
      <c r="Y40" s="156">
        <f>Y39-K40-L40+2</f>
        <v>-3213935</v>
      </c>
      <c r="Z40" s="217">
        <f>AVERAGE(Y40:Y48)</f>
        <v>-3226917.6666666665</v>
      </c>
      <c r="AD40" s="1"/>
      <c r="AE40" s="1"/>
    </row>
    <row r="41" spans="2:31">
      <c r="B41" s="116">
        <v>45265</v>
      </c>
      <c r="C41" s="14" t="str">
        <f t="shared" si="0"/>
        <v/>
      </c>
      <c r="D41" s="87"/>
      <c r="E41" s="87">
        <v>8</v>
      </c>
      <c r="F41" s="23">
        <v>-3571774</v>
      </c>
      <c r="G41" s="26">
        <f>D41+E41+F41-E40-F40</f>
        <v>-9895</v>
      </c>
      <c r="H41" s="132">
        <v>300</v>
      </c>
      <c r="I41" s="25">
        <v>8300</v>
      </c>
      <c r="J41" s="25">
        <v>-900</v>
      </c>
      <c r="K41" s="170">
        <f t="shared" si="8"/>
        <v>7700</v>
      </c>
      <c r="L41" s="171">
        <v>-28</v>
      </c>
      <c r="M41" s="153"/>
      <c r="N41" s="149">
        <f t="shared" si="9"/>
        <v>-2223</v>
      </c>
      <c r="O41" s="67">
        <f t="shared" si="2"/>
        <v>4978.1071428573296</v>
      </c>
      <c r="P41" s="7">
        <f t="shared" si="5"/>
        <v>174233.75000000652</v>
      </c>
      <c r="Q41" s="164">
        <f>Q40+N41+1</f>
        <v>154272.45000000019</v>
      </c>
      <c r="R41" s="29">
        <f t="shared" si="3"/>
        <v>103.0381528274882</v>
      </c>
      <c r="S41" s="5">
        <f>SUM($Q$7:$Q41)/T41+1</f>
        <v>168865.10714285733</v>
      </c>
      <c r="T41" s="18">
        <v>35</v>
      </c>
      <c r="U41" s="138">
        <f>B40+8</f>
        <v>45272</v>
      </c>
      <c r="V41" s="137"/>
      <c r="W41" s="105">
        <v>-3221606</v>
      </c>
      <c r="X41" s="167"/>
      <c r="Y41" s="156">
        <f>Y40-K41-L41+1</f>
        <v>-3221606</v>
      </c>
      <c r="Z41" s="217"/>
      <c r="AD41" s="1"/>
      <c r="AE41" s="1"/>
    </row>
    <row r="42" spans="2:31">
      <c r="B42" s="116">
        <v>45266</v>
      </c>
      <c r="C42" s="14" t="str">
        <f t="shared" si="0"/>
        <v/>
      </c>
      <c r="D42" s="87">
        <f>-8472+6508</f>
        <v>-1964</v>
      </c>
      <c r="E42" s="87">
        <v>0</v>
      </c>
      <c r="F42" s="23">
        <v>-3555503</v>
      </c>
      <c r="G42" s="26">
        <f>D42+E42+F42-E41-F41</f>
        <v>14299</v>
      </c>
      <c r="H42" s="132">
        <v>300</v>
      </c>
      <c r="I42" s="25">
        <v>2500</v>
      </c>
      <c r="J42" s="25">
        <v>-900</v>
      </c>
      <c r="K42" s="170">
        <f t="shared" si="8"/>
        <v>1900</v>
      </c>
      <c r="L42" s="171">
        <v>-34</v>
      </c>
      <c r="M42" s="153"/>
      <c r="N42" s="149">
        <f t="shared" si="9"/>
        <v>16165</v>
      </c>
      <c r="O42" s="67">
        <f t="shared" si="2"/>
        <v>5021.7555555557419</v>
      </c>
      <c r="P42" s="7">
        <f t="shared" si="5"/>
        <v>180783.20000000671</v>
      </c>
      <c r="Q42" s="164">
        <f>Q41+N42-2</f>
        <v>170435.45000000019</v>
      </c>
      <c r="R42" s="29">
        <f t="shared" si="3"/>
        <v>103.0635658662459</v>
      </c>
      <c r="S42" s="5">
        <f>SUM($Q$7:$Q42)/T42-1</f>
        <v>168906.75555555575</v>
      </c>
      <c r="T42" s="18">
        <v>36</v>
      </c>
      <c r="U42" s="138"/>
      <c r="V42" s="137"/>
      <c r="W42" s="105">
        <v>-3223471</v>
      </c>
      <c r="X42" s="167"/>
      <c r="Y42" s="156">
        <f t="shared" ref="Y42:Y47" si="12">Y41-K42-L42</f>
        <v>-3223472</v>
      </c>
      <c r="Z42" s="217"/>
      <c r="AD42" s="1"/>
      <c r="AE42" s="1"/>
    </row>
    <row r="43" spans="2:31">
      <c r="B43" s="116">
        <v>45267</v>
      </c>
      <c r="C43" s="14" t="str">
        <f t="shared" si="0"/>
        <v/>
      </c>
      <c r="D43" s="87"/>
      <c r="E43" s="87">
        <v>0</v>
      </c>
      <c r="F43" s="23">
        <v>-3567054</v>
      </c>
      <c r="G43" s="26">
        <f>D43+E43+F43-E42-F42</f>
        <v>-11551</v>
      </c>
      <c r="H43" s="132">
        <v>300</v>
      </c>
      <c r="I43" s="25">
        <v>3500</v>
      </c>
      <c r="J43" s="25">
        <v>-900</v>
      </c>
      <c r="K43" s="170">
        <f t="shared" si="8"/>
        <v>2900</v>
      </c>
      <c r="L43" s="171">
        <v>16</v>
      </c>
      <c r="M43" s="153"/>
      <c r="N43" s="149">
        <f t="shared" si="9"/>
        <v>-8635</v>
      </c>
      <c r="O43" s="67">
        <f t="shared" si="2"/>
        <v>4829.7202702704562</v>
      </c>
      <c r="P43" s="7">
        <f t="shared" si="5"/>
        <v>178699.65000000689</v>
      </c>
      <c r="Q43" s="164">
        <f>Q42+N43+2</f>
        <v>161802.45000000019</v>
      </c>
      <c r="R43" s="29">
        <f t="shared" si="3"/>
        <v>102.88964296539696</v>
      </c>
      <c r="S43" s="5">
        <f>SUM($Q$7:$Q43)/T43-94</f>
        <v>168621.72027027045</v>
      </c>
      <c r="T43" s="18">
        <v>37</v>
      </c>
      <c r="U43" s="138"/>
      <c r="V43" s="137"/>
      <c r="W43" s="105">
        <v>-3226388</v>
      </c>
      <c r="X43" s="167"/>
      <c r="Y43" s="156">
        <f t="shared" si="12"/>
        <v>-3226388</v>
      </c>
      <c r="Z43" s="217"/>
      <c r="AD43" s="1"/>
      <c r="AE43" s="1"/>
    </row>
    <row r="44" spans="2:31">
      <c r="B44" s="116">
        <v>45268</v>
      </c>
      <c r="C44" s="14" t="str">
        <f t="shared" si="0"/>
        <v/>
      </c>
      <c r="D44" s="87"/>
      <c r="E44" s="87">
        <v>0</v>
      </c>
      <c r="F44" s="23">
        <v>-3566779</v>
      </c>
      <c r="G44" s="26">
        <f>D44+E44+F44-E43-F43</f>
        <v>275</v>
      </c>
      <c r="H44" s="132">
        <v>300</v>
      </c>
      <c r="I44" s="25">
        <v>4100</v>
      </c>
      <c r="J44" s="25">
        <v>-900</v>
      </c>
      <c r="K44" s="170">
        <f t="shared" si="8"/>
        <v>3500</v>
      </c>
      <c r="L44" s="171">
        <v>8</v>
      </c>
      <c r="M44" s="153"/>
      <c r="N44" s="149">
        <f t="shared" si="9"/>
        <v>3783</v>
      </c>
      <c r="O44" s="67">
        <f t="shared" si="2"/>
        <v>4747.3184210528179</v>
      </c>
      <c r="P44" s="7">
        <f t="shared" si="5"/>
        <v>180398.10000000708</v>
      </c>
      <c r="Q44" s="164">
        <f>Q43+N44-1</f>
        <v>165584.45000000019</v>
      </c>
      <c r="R44" s="29">
        <f t="shared" si="3"/>
        <v>102.89733010815618</v>
      </c>
      <c r="S44" s="5">
        <f>SUM($Q$7:$Q44)/T44+1</f>
        <v>168634.31842105283</v>
      </c>
      <c r="T44" s="18">
        <v>38</v>
      </c>
      <c r="U44" s="138"/>
      <c r="V44" s="137"/>
      <c r="W44" s="105">
        <v>-3229896</v>
      </c>
      <c r="X44" s="167"/>
      <c r="Y44" s="156">
        <f>Y43-K44-L44</f>
        <v>-3229896</v>
      </c>
      <c r="Z44" s="217"/>
      <c r="AD44" s="1"/>
      <c r="AE44" s="1"/>
    </row>
    <row r="45" spans="2:31">
      <c r="B45" s="116">
        <v>45269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/>
      <c r="O45" s="67">
        <f t="shared" si="2"/>
        <v>4669.1423076924939</v>
      </c>
      <c r="P45" s="7">
        <f t="shared" si="5"/>
        <v>182096.55000000726</v>
      </c>
      <c r="Q45" s="164">
        <f t="shared" ref="Q45:Q46" si="13">Q44+N45</f>
        <v>165584.45000000019</v>
      </c>
      <c r="R45" s="29">
        <f t="shared" si="3"/>
        <v>102.84962858797731</v>
      </c>
      <c r="S45" s="5">
        <f>SUM($Q$7:$Q45)/T45+1</f>
        <v>168556.1423076925</v>
      </c>
      <c r="T45" s="18">
        <v>39</v>
      </c>
      <c r="U45" s="138"/>
      <c r="V45" s="137"/>
      <c r="W45" s="105">
        <v>-3229896</v>
      </c>
      <c r="X45" s="167"/>
      <c r="Y45" s="156">
        <f t="shared" si="12"/>
        <v>-3229896</v>
      </c>
      <c r="Z45" s="217"/>
      <c r="AD45" s="1"/>
      <c r="AE45" s="1"/>
    </row>
    <row r="46" spans="2:31">
      <c r="B46" s="116">
        <v>45270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/>
      <c r="O46" s="67">
        <f t="shared" si="2"/>
        <v>4594.8750000001864</v>
      </c>
      <c r="P46" s="7">
        <f t="shared" si="5"/>
        <v>183795.00000000745</v>
      </c>
      <c r="Q46" s="164">
        <f t="shared" si="13"/>
        <v>165584.45000000019</v>
      </c>
      <c r="R46" s="29">
        <f t="shared" si="3"/>
        <v>102.80431214380738</v>
      </c>
      <c r="S46" s="5">
        <f>SUM($Q$7:$Q46)/T46+1</f>
        <v>168481.87500000017</v>
      </c>
      <c r="T46" s="18">
        <v>40</v>
      </c>
      <c r="U46" s="138"/>
      <c r="V46" s="137"/>
      <c r="W46" s="105">
        <v>-3229896</v>
      </c>
      <c r="X46" s="167"/>
      <c r="Y46" s="156">
        <f t="shared" si="12"/>
        <v>-3229896</v>
      </c>
      <c r="Z46" s="217"/>
      <c r="AD46" s="1"/>
      <c r="AE46" s="1"/>
    </row>
    <row r="47" spans="2:31">
      <c r="B47" s="116">
        <v>45271</v>
      </c>
      <c r="C47" s="14"/>
      <c r="D47" s="87"/>
      <c r="E47" s="87">
        <v>1</v>
      </c>
      <c r="F47" s="23">
        <v>-3568945</v>
      </c>
      <c r="G47" s="26">
        <f>D47+E47+F47-E44-F44</f>
        <v>-2165</v>
      </c>
      <c r="H47" s="132">
        <v>300</v>
      </c>
      <c r="I47" s="25">
        <v>-300</v>
      </c>
      <c r="J47" s="25">
        <v>-400</v>
      </c>
      <c r="K47" s="170">
        <f t="shared" si="8"/>
        <v>-400</v>
      </c>
      <c r="L47" s="171">
        <v>-49</v>
      </c>
      <c r="M47" s="153"/>
      <c r="N47" s="149">
        <f t="shared" si="9"/>
        <v>-2614</v>
      </c>
      <c r="O47" s="67">
        <f t="shared" si="2"/>
        <v>4460.4987804879911</v>
      </c>
      <c r="P47" s="7">
        <f t="shared" si="5"/>
        <v>182880.45000000764</v>
      </c>
      <c r="Q47" s="164">
        <f>Q46+N47+1</f>
        <v>162971.45000000019</v>
      </c>
      <c r="R47" s="29">
        <f t="shared" si="3"/>
        <v>111.54735534486655</v>
      </c>
      <c r="S47" s="5">
        <f>SUM($Q$7:$Q47)/T47+1+14465-2</f>
        <v>182810.49878048798</v>
      </c>
      <c r="T47" s="18">
        <v>41</v>
      </c>
      <c r="U47" s="138">
        <f>B47</f>
        <v>45271</v>
      </c>
      <c r="V47" s="131">
        <v>1484.4</v>
      </c>
      <c r="W47" s="105">
        <v>-3229447</v>
      </c>
      <c r="X47" s="167">
        <f>AVERAGE(W47:W55)</f>
        <v>-3232953.4444444445</v>
      </c>
      <c r="Y47" s="156">
        <f t="shared" si="12"/>
        <v>-3229447</v>
      </c>
      <c r="Z47" s="217">
        <f>AVERAGE(Y47:Y55)</f>
        <v>-3232953.4444444445</v>
      </c>
      <c r="AD47" s="1"/>
      <c r="AE47" s="1"/>
    </row>
    <row r="48" spans="2:31">
      <c r="B48" s="116">
        <v>45272</v>
      </c>
      <c r="C48" s="14" t="str">
        <f t="shared" si="0"/>
        <v/>
      </c>
      <c r="D48" s="87"/>
      <c r="E48" s="87">
        <v>12</v>
      </c>
      <c r="F48" s="23">
        <v>-3576595</v>
      </c>
      <c r="G48" s="26">
        <f>D48+E48+F48-E47-F47</f>
        <v>-7639</v>
      </c>
      <c r="H48" s="132">
        <v>300</v>
      </c>
      <c r="I48" s="25">
        <v>8400</v>
      </c>
      <c r="J48" s="25">
        <v>-400</v>
      </c>
      <c r="K48" s="170">
        <f t="shared" si="8"/>
        <v>8300</v>
      </c>
      <c r="L48" s="171">
        <v>-23</v>
      </c>
      <c r="M48" s="153"/>
      <c r="N48" s="149">
        <f t="shared" si="9"/>
        <v>638</v>
      </c>
      <c r="O48" s="67">
        <f t="shared" si="2"/>
        <v>4347.6642857144716</v>
      </c>
      <c r="P48" s="7">
        <f t="shared" si="5"/>
        <v>182601.90000000782</v>
      </c>
      <c r="Q48" s="164">
        <f>Q47+N48-2</f>
        <v>163607.45000000019</v>
      </c>
      <c r="R48" s="29">
        <f t="shared" si="3"/>
        <v>102.78282726145886</v>
      </c>
      <c r="S48" s="5">
        <f>SUM($Q$7:$Q48)/T48+213</f>
        <v>168446.66428571448</v>
      </c>
      <c r="T48" s="18">
        <v>42</v>
      </c>
      <c r="U48" s="138">
        <f>B47+8</f>
        <v>45279</v>
      </c>
      <c r="V48" s="137"/>
      <c r="W48" s="105">
        <v>-3237723</v>
      </c>
      <c r="X48" s="167"/>
      <c r="Y48" s="156">
        <f>Y47-K48-L48+1</f>
        <v>-3237723</v>
      </c>
      <c r="Z48" s="217"/>
      <c r="AD48" s="1"/>
      <c r="AE48" s="1"/>
    </row>
    <row r="49" spans="2:31">
      <c r="B49" s="116">
        <v>45273</v>
      </c>
      <c r="C49" s="14" t="str">
        <f t="shared" ref="C49:C55" si="14">IF(OR(WEEKDAY(B49)=1,WEEKDAY(B49)=7),"F","")</f>
        <v/>
      </c>
      <c r="D49" s="87">
        <f>-6508+6478</f>
        <v>-30</v>
      </c>
      <c r="E49" s="87">
        <v>39</v>
      </c>
      <c r="F49" s="23">
        <v>-3580141</v>
      </c>
      <c r="G49" s="26">
        <f t="shared" ref="G49:G55" si="15">D49+E49+F49-E48-F48</f>
        <v>-3549</v>
      </c>
      <c r="H49" s="132">
        <v>300</v>
      </c>
      <c r="I49" s="25">
        <v>7500</v>
      </c>
      <c r="J49" s="25">
        <v>-500</v>
      </c>
      <c r="K49" s="170">
        <f t="shared" si="8"/>
        <v>7300</v>
      </c>
      <c r="L49" s="171">
        <v>40</v>
      </c>
      <c r="M49" s="153"/>
      <c r="N49" s="149">
        <f t="shared" ref="N49:N55" si="16">L49+K49+G49+M49</f>
        <v>3791</v>
      </c>
      <c r="O49" s="67">
        <f t="shared" ref="O49:O55" si="17">P49/T49</f>
        <v>4328.217441860651</v>
      </c>
      <c r="P49" s="7">
        <f t="shared" si="5"/>
        <v>186113.35000000801</v>
      </c>
      <c r="Q49" s="164">
        <f>Q48+N49-1</f>
        <v>167397.45000000019</v>
      </c>
      <c r="R49" s="29">
        <f t="shared" si="3"/>
        <v>102.770961181468</v>
      </c>
      <c r="S49" s="5">
        <f>SUM($Q$7:$Q49)/T49+213</f>
        <v>168427.21744186064</v>
      </c>
      <c r="T49" s="18">
        <v>43</v>
      </c>
      <c r="U49" s="138"/>
      <c r="V49" s="137"/>
      <c r="W49" s="105">
        <v>-3245062</v>
      </c>
      <c r="X49" s="167"/>
      <c r="Y49" s="156">
        <f t="shared" ref="Y49:Y51" si="18">Y48-K49-L49+1</f>
        <v>-3245062</v>
      </c>
      <c r="Z49" s="217"/>
      <c r="AD49" s="1"/>
      <c r="AE49" s="1"/>
    </row>
    <row r="50" spans="2:31">
      <c r="B50" s="116">
        <v>45274</v>
      </c>
      <c r="C50" s="14" t="str">
        <f t="shared" si="14"/>
        <v/>
      </c>
      <c r="D50" s="87"/>
      <c r="E50" s="87">
        <v>16</v>
      </c>
      <c r="F50" s="23">
        <v>-3570946</v>
      </c>
      <c r="G50" s="26">
        <f t="shared" si="15"/>
        <v>9172</v>
      </c>
      <c r="H50" s="132">
        <v>300</v>
      </c>
      <c r="I50" s="25">
        <v>-50</v>
      </c>
      <c r="J50" s="25">
        <v>-500</v>
      </c>
      <c r="K50" s="170">
        <f t="shared" si="8"/>
        <v>-250</v>
      </c>
      <c r="L50" s="171">
        <v>5</v>
      </c>
      <c r="M50" s="153"/>
      <c r="N50" s="149">
        <f t="shared" si="16"/>
        <v>8927</v>
      </c>
      <c r="O50" s="67">
        <f t="shared" si="17"/>
        <v>4512.5409090910953</v>
      </c>
      <c r="P50" s="7">
        <f t="shared" si="5"/>
        <v>198551.8000000082</v>
      </c>
      <c r="Q50" s="164">
        <f>Q49+N50</f>
        <v>176324.45000000019</v>
      </c>
      <c r="R50" s="29">
        <f t="shared" si="3"/>
        <v>102.75285314736531</v>
      </c>
      <c r="S50" s="5">
        <f>SUM($Q$7:$Q50)/T50-1</f>
        <v>168397.5409090911</v>
      </c>
      <c r="T50" s="18">
        <v>44</v>
      </c>
      <c r="U50" s="138"/>
      <c r="V50" s="137"/>
      <c r="W50" s="105">
        <v>-3244817</v>
      </c>
      <c r="X50" s="167"/>
      <c r="Y50" s="156">
        <f>Y49-K50-L50</f>
        <v>-3244817</v>
      </c>
      <c r="Z50" s="217"/>
      <c r="AD50" s="1"/>
      <c r="AE50" s="1"/>
    </row>
    <row r="51" spans="2:31">
      <c r="B51" s="116">
        <v>45275</v>
      </c>
      <c r="C51" s="14" t="str">
        <f t="shared" si="14"/>
        <v/>
      </c>
      <c r="D51" s="87"/>
      <c r="E51" s="87">
        <v>284</v>
      </c>
      <c r="F51" s="23">
        <v>-3533695</v>
      </c>
      <c r="G51" s="26">
        <f t="shared" si="15"/>
        <v>37519</v>
      </c>
      <c r="H51" s="132">
        <v>5300</v>
      </c>
      <c r="I51" s="25">
        <v>-27200</v>
      </c>
      <c r="J51" s="25">
        <v>-500</v>
      </c>
      <c r="K51" s="170">
        <f t="shared" si="8"/>
        <v>-22400</v>
      </c>
      <c r="L51" s="171">
        <v>44</v>
      </c>
      <c r="M51" s="153"/>
      <c r="N51" s="149">
        <f t="shared" si="16"/>
        <v>15163</v>
      </c>
      <c r="O51" s="67">
        <f t="shared" si="17"/>
        <v>5025.6055555557414</v>
      </c>
      <c r="P51" s="7">
        <f t="shared" si="5"/>
        <v>226152.25000000838</v>
      </c>
      <c r="Q51" s="164">
        <f>Q50+N51-1</f>
        <v>191486.45000000019</v>
      </c>
      <c r="R51" s="29">
        <f t="shared" si="3"/>
        <v>103.19649363310823</v>
      </c>
      <c r="S51" s="5">
        <f>SUM($Q$7:$Q51)/T51+213</f>
        <v>169124.60555555575</v>
      </c>
      <c r="T51" s="18">
        <v>45</v>
      </c>
      <c r="U51" s="138"/>
      <c r="V51" s="137"/>
      <c r="W51" s="105">
        <v>-3222460</v>
      </c>
      <c r="X51" s="167"/>
      <c r="Y51" s="156">
        <f t="shared" si="18"/>
        <v>-3222460</v>
      </c>
      <c r="Z51" s="217"/>
      <c r="AD51" s="1"/>
      <c r="AE51" s="1"/>
    </row>
    <row r="52" spans="2:31">
      <c r="B52" s="116">
        <v>45276</v>
      </c>
      <c r="C52" s="14" t="str">
        <f t="shared" si="14"/>
        <v>F</v>
      </c>
      <c r="D52" s="87"/>
      <c r="E52" s="87"/>
      <c r="F52" s="23"/>
      <c r="G52" s="26"/>
      <c r="H52" s="132"/>
      <c r="I52" s="25"/>
      <c r="J52" s="25"/>
      <c r="K52" s="170">
        <f t="shared" si="8"/>
        <v>0</v>
      </c>
      <c r="L52" s="171"/>
      <c r="M52" s="153"/>
      <c r="N52" s="149">
        <f t="shared" si="16"/>
        <v>0</v>
      </c>
      <c r="O52" s="67">
        <f t="shared" si="17"/>
        <v>5516.3630434784473</v>
      </c>
      <c r="P52" s="7">
        <f t="shared" si="5"/>
        <v>253752.70000000857</v>
      </c>
      <c r="Q52" s="164">
        <f>Q51+N52</f>
        <v>191486.45000000019</v>
      </c>
      <c r="R52" s="29">
        <f t="shared" si="3"/>
        <v>103.49594415842627</v>
      </c>
      <c r="S52" s="5">
        <f>SUM($Q$7:$Q52)/T52+213</f>
        <v>169615.36304347846</v>
      </c>
      <c r="T52" s="18">
        <v>46</v>
      </c>
      <c r="U52" s="138"/>
      <c r="V52" s="137"/>
      <c r="W52" s="105">
        <v>-3222460</v>
      </c>
      <c r="X52" s="167"/>
      <c r="Y52" s="156">
        <f>Y51-K52-L52</f>
        <v>-3222460</v>
      </c>
      <c r="Z52" s="217"/>
      <c r="AD52" s="1"/>
      <c r="AE52" s="1"/>
    </row>
    <row r="53" spans="2:31">
      <c r="B53" s="116">
        <v>45277</v>
      </c>
      <c r="C53" s="14" t="str">
        <f t="shared" si="14"/>
        <v>F</v>
      </c>
      <c r="D53" s="87"/>
      <c r="E53" s="87"/>
      <c r="F53" s="23"/>
      <c r="G53" s="26"/>
      <c r="H53" s="132"/>
      <c r="I53" s="25"/>
      <c r="J53" s="25"/>
      <c r="K53" s="170">
        <f t="shared" si="8"/>
        <v>0</v>
      </c>
      <c r="L53" s="171"/>
      <c r="M53" s="153"/>
      <c r="N53" s="149">
        <f t="shared" si="16"/>
        <v>0</v>
      </c>
      <c r="O53" s="67">
        <f t="shared" si="17"/>
        <v>5986.2372340427391</v>
      </c>
      <c r="P53" s="7">
        <f t="shared" si="5"/>
        <v>281353.15000000875</v>
      </c>
      <c r="Q53" s="164">
        <f>Q52+N53</f>
        <v>191486.45000000019</v>
      </c>
      <c r="R53" s="29">
        <f t="shared" si="3"/>
        <v>103.78265210819883</v>
      </c>
      <c r="S53" s="5">
        <f>SUM($Q$7:$Q53)/T53+213</f>
        <v>170085.23723404275</v>
      </c>
      <c r="T53" s="18">
        <v>47</v>
      </c>
      <c r="U53" s="138"/>
      <c r="V53" s="137"/>
      <c r="W53" s="105">
        <v>-3222460</v>
      </c>
      <c r="X53" s="167"/>
      <c r="Y53" s="156">
        <f>Y52-K53-L53</f>
        <v>-3222460</v>
      </c>
      <c r="Z53" s="217"/>
      <c r="AD53" s="1"/>
      <c r="AE53" s="1"/>
    </row>
    <row r="54" spans="2:31">
      <c r="B54" s="116">
        <v>45278</v>
      </c>
      <c r="C54" s="14" t="str">
        <f t="shared" si="14"/>
        <v/>
      </c>
      <c r="D54" s="87"/>
      <c r="E54" s="87">
        <v>125</v>
      </c>
      <c r="F54" s="23">
        <v>-3515562</v>
      </c>
      <c r="G54" s="26">
        <f>D54+E54+F54-E51-F51</f>
        <v>17974</v>
      </c>
      <c r="H54" s="132">
        <v>300</v>
      </c>
      <c r="I54" s="25">
        <v>15850</v>
      </c>
      <c r="J54" s="25">
        <v>-1400</v>
      </c>
      <c r="K54" s="170">
        <f t="shared" si="8"/>
        <v>14750</v>
      </c>
      <c r="L54" s="171">
        <v>34</v>
      </c>
      <c r="M54" s="153"/>
      <c r="N54" s="149">
        <f t="shared" si="16"/>
        <v>32758</v>
      </c>
      <c r="O54" s="67">
        <f t="shared" si="17"/>
        <v>7118.9916666668532</v>
      </c>
      <c r="P54" s="7">
        <f t="shared" si="5"/>
        <v>341711.60000000894</v>
      </c>
      <c r="Q54" s="164">
        <f>Q53+N54</f>
        <v>224244.45000000019</v>
      </c>
      <c r="R54" s="29">
        <f t="shared" si="3"/>
        <v>104.34386809530211</v>
      </c>
      <c r="S54" s="5">
        <f>SUM($Q$7:$Q54)/T54</f>
        <v>171004.99166666684</v>
      </c>
      <c r="T54" s="18">
        <v>48</v>
      </c>
      <c r="U54" s="138"/>
      <c r="V54" s="137"/>
      <c r="W54" s="105">
        <v>-3237244</v>
      </c>
      <c r="X54" s="167"/>
      <c r="Y54" s="156">
        <f>Y53-K54-L54</f>
        <v>-3237244</v>
      </c>
      <c r="Z54" s="217"/>
      <c r="AD54" s="1"/>
      <c r="AE54" s="1"/>
    </row>
    <row r="55" spans="2:31">
      <c r="B55" s="116">
        <v>45279</v>
      </c>
      <c r="C55" s="14" t="str">
        <f t="shared" si="14"/>
        <v/>
      </c>
      <c r="D55" s="87"/>
      <c r="E55" s="87">
        <v>253</v>
      </c>
      <c r="F55" s="23">
        <v>-3518287</v>
      </c>
      <c r="G55" s="26">
        <f t="shared" si="15"/>
        <v>-2597</v>
      </c>
      <c r="H55" s="132">
        <v>300</v>
      </c>
      <c r="I55" s="25">
        <v>-1200</v>
      </c>
      <c r="J55" s="25">
        <v>-1400</v>
      </c>
      <c r="K55" s="170">
        <f t="shared" si="8"/>
        <v>-2300</v>
      </c>
      <c r="L55" s="171">
        <v>-36</v>
      </c>
      <c r="M55" s="153"/>
      <c r="N55" s="149">
        <f t="shared" si="16"/>
        <v>-4933</v>
      </c>
      <c r="O55" s="67">
        <f t="shared" si="17"/>
        <v>8104.7765306124311</v>
      </c>
      <c r="P55" s="7">
        <f t="shared" si="5"/>
        <v>397134.05000000913</v>
      </c>
      <c r="Q55" s="164">
        <f>Q54+N55-3</f>
        <v>219308.45000000019</v>
      </c>
      <c r="R55" s="29">
        <f t="shared" si="3"/>
        <v>105.07534293997804</v>
      </c>
      <c r="S55" s="5">
        <f>SUM($Q$7:$Q55)/T55+213</f>
        <v>172203.77653061241</v>
      </c>
      <c r="T55" s="18">
        <v>49</v>
      </c>
      <c r="U55" s="138"/>
      <c r="V55" s="137"/>
      <c r="W55" s="105">
        <v>-3234908</v>
      </c>
      <c r="X55" s="167"/>
      <c r="Y55" s="156">
        <f>Y54-K55-L55</f>
        <v>-3234908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2023'!Q48</f>
        <v>193211.45000000019</v>
      </c>
    </row>
    <row r="60" spans="2:31">
      <c r="D60" s="138" t="s">
        <v>4</v>
      </c>
      <c r="E60" s="139"/>
      <c r="F60" s="143"/>
      <c r="G60" s="91">
        <f>'OCT 2023'!E48</f>
        <v>50</v>
      </c>
    </row>
    <row r="61" spans="2:31">
      <c r="D61" s="138" t="s">
        <v>60</v>
      </c>
      <c r="E61" s="144"/>
      <c r="F61" s="143"/>
      <c r="G61" s="91">
        <f>'OCT 2023'!F48</f>
        <v>-3496610</v>
      </c>
    </row>
    <row r="62" spans="2:31" ht="12.75" thickBot="1">
      <c r="D62" s="140" t="s">
        <v>46</v>
      </c>
      <c r="E62" s="145"/>
      <c r="F62" s="146"/>
      <c r="G62" s="158">
        <f>'OCT 2023'!W48</f>
        <v>-3183450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405B-3D20-452F-B56A-56A35D2ED98A}">
  <sheetPr>
    <pageSetUpPr fitToPage="1"/>
  </sheetPr>
  <dimension ref="B1:IU65506"/>
  <sheetViews>
    <sheetView zoomScale="120" zoomScaleNormal="120" workbookViewId="0">
      <pane xSplit="2" ySplit="6" topLeftCell="K28" activePane="bottomRight" state="frozen"/>
      <selection pane="topRight" activeCell="C1" sqref="C1"/>
      <selection pane="bottomLeft" activeCell="A7" sqref="A7"/>
      <selection pane="bottomRight" activeCell="Q14" sqref="Q14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162394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45280</v>
      </c>
      <c r="C7" s="196" t="str">
        <f t="shared" ref="C7:C48" si="0">IF(OR(WEEKDAY(B7)=1,WEEKDAY(B7)=7),"F","")</f>
        <v/>
      </c>
      <c r="D7" s="197">
        <f>-105398+8391</f>
        <v>-97007</v>
      </c>
      <c r="E7" s="197">
        <v>242</v>
      </c>
      <c r="F7" s="198">
        <v>-3303533</v>
      </c>
      <c r="G7" s="199">
        <f>D7+E7+F7-G53-G54</f>
        <v>117736</v>
      </c>
      <c r="H7" s="132">
        <v>300</v>
      </c>
      <c r="I7" s="63">
        <v>8412</v>
      </c>
      <c r="J7" s="63">
        <v>-1900</v>
      </c>
      <c r="K7" s="170">
        <f t="shared" ref="K7:K9" si="1">+H7+I7+J7</f>
        <v>6812</v>
      </c>
      <c r="L7" s="169">
        <v>6</v>
      </c>
      <c r="M7" s="203"/>
      <c r="N7" s="204">
        <f>L7+K7+G7+M7</f>
        <v>124554</v>
      </c>
      <c r="O7" s="205">
        <f t="shared" ref="O7:O48" si="2">P7/T7</f>
        <v>181470.50999999978</v>
      </c>
      <c r="P7" s="206">
        <f>(+$Q7-$Q$3)</f>
        <v>181470.50999999978</v>
      </c>
      <c r="Q7" s="207">
        <v>343864.50999999978</v>
      </c>
      <c r="R7" s="208">
        <f t="shared" ref="R7:R48" si="3">$S7/$Q$3*100</f>
        <v>211.74705346256619</v>
      </c>
      <c r="S7" s="209">
        <f>$Q7</f>
        <v>343864.50999999978</v>
      </c>
      <c r="T7" s="210">
        <v>1</v>
      </c>
      <c r="U7" s="211">
        <f>B7</f>
        <v>45280</v>
      </c>
      <c r="V7" s="212">
        <v>1475.1</v>
      </c>
      <c r="W7" s="213">
        <v>-3241614</v>
      </c>
      <c r="X7" s="214">
        <f>AVERAGE(W7:W11)</f>
        <v>-3243397.6</v>
      </c>
      <c r="Y7" s="215">
        <f>G55-K7-L7</f>
        <v>-3241726</v>
      </c>
      <c r="Z7" s="216">
        <f>AVERAGE(Y7:Y13)</f>
        <v>-3243826.1428571427</v>
      </c>
      <c r="AA7" s="92"/>
    </row>
    <row r="8" spans="2:255">
      <c r="B8" s="116">
        <v>45281</v>
      </c>
      <c r="C8" s="14"/>
      <c r="D8" s="87">
        <f>-1903+1060</f>
        <v>-843</v>
      </c>
      <c r="E8" s="128">
        <v>100</v>
      </c>
      <c r="F8" s="162">
        <v>-3378713</v>
      </c>
      <c r="G8" s="26">
        <f>D8+E8+F8-E7-F7</f>
        <v>-76165</v>
      </c>
      <c r="H8" s="132">
        <v>300</v>
      </c>
      <c r="I8" s="63">
        <v>689</v>
      </c>
      <c r="J8" s="63">
        <v>-1900</v>
      </c>
      <c r="K8" s="170">
        <f t="shared" si="1"/>
        <v>-911</v>
      </c>
      <c r="L8" s="171">
        <v>42</v>
      </c>
      <c r="M8" s="153"/>
      <c r="N8" s="149">
        <f>L8+K8+G8+M8</f>
        <v>-77034</v>
      </c>
      <c r="O8" s="67">
        <f t="shared" si="2"/>
        <v>142953.50999999978</v>
      </c>
      <c r="P8" s="163">
        <f>(IF($Q8&lt;0,-$Q$3+P7,($Q8-$Q$3)+P7))</f>
        <v>285907.01999999955</v>
      </c>
      <c r="Q8" s="164">
        <v>266830.50999999978</v>
      </c>
      <c r="R8" s="29">
        <f t="shared" si="3"/>
        <v>188.02881264086096</v>
      </c>
      <c r="S8" s="165">
        <f>SUM($Q$7:$Q8)/T8</f>
        <v>305347.50999999978</v>
      </c>
      <c r="T8" s="166">
        <v>2</v>
      </c>
      <c r="U8" s="138">
        <f>B7+6</f>
        <v>45286</v>
      </c>
      <c r="V8" s="131"/>
      <c r="W8" s="105">
        <v>-3240857</v>
      </c>
      <c r="X8" s="167"/>
      <c r="Y8" s="156">
        <f>Y7-K8-L8</f>
        <v>-3240857</v>
      </c>
      <c r="Z8" s="217"/>
      <c r="AA8" s="92"/>
    </row>
    <row r="9" spans="2:255">
      <c r="B9" s="116">
        <v>45282</v>
      </c>
      <c r="C9" s="14" t="str">
        <f t="shared" si="0"/>
        <v/>
      </c>
      <c r="D9" s="87"/>
      <c r="E9" s="87">
        <v>200</v>
      </c>
      <c r="F9" s="23">
        <v>-3445633</v>
      </c>
      <c r="G9" s="26">
        <f>D9+E9+F9-E8-F8</f>
        <v>-66820</v>
      </c>
      <c r="H9" s="132">
        <v>300</v>
      </c>
      <c r="I9" s="63">
        <v>5550</v>
      </c>
      <c r="J9" s="63">
        <v>-1900</v>
      </c>
      <c r="K9" s="170">
        <f t="shared" si="1"/>
        <v>3950</v>
      </c>
      <c r="L9" s="171">
        <v>31</v>
      </c>
      <c r="M9" s="153"/>
      <c r="N9" s="149">
        <f>L9+K9+G9+M9</f>
        <v>-62839</v>
      </c>
      <c r="O9" s="67">
        <f t="shared" si="2"/>
        <v>109168.50999999978</v>
      </c>
      <c r="P9" s="163">
        <f t="shared" ref="P9" si="4">(IF($Q9&lt;0,-$Q$3+P8,($Q9-$Q$3)+P8))</f>
        <v>327505.52999999933</v>
      </c>
      <c r="Q9" s="164">
        <v>203992.50999999978</v>
      </c>
      <c r="R9" s="29">
        <f t="shared" si="3"/>
        <v>167.22508836533356</v>
      </c>
      <c r="S9" s="5">
        <f>SUM($Q$7:$Q9)/T9+1</f>
        <v>271563.50999999978</v>
      </c>
      <c r="T9" s="17">
        <v>3</v>
      </c>
      <c r="U9" s="4"/>
      <c r="V9" s="131"/>
      <c r="W9" s="105">
        <v>-3244839</v>
      </c>
      <c r="X9" s="167"/>
      <c r="Y9" s="156">
        <f>Y8-K9-L9-2</f>
        <v>-3244840</v>
      </c>
      <c r="Z9" s="217"/>
      <c r="AA9" s="92"/>
    </row>
    <row r="10" spans="2:255">
      <c r="B10" s="116">
        <v>45283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92276.009999999776</v>
      </c>
      <c r="P10" s="163">
        <f>(IF($Q10&lt;0,-$Q$3+P9,($Q10-$Q$3)+P9))</f>
        <v>369104.03999999911</v>
      </c>
      <c r="Q10" s="164">
        <v>203992.50999999978</v>
      </c>
      <c r="R10" s="29">
        <f t="shared" si="3"/>
        <v>156.82168676182604</v>
      </c>
      <c r="S10" s="5">
        <f>SUM($Q$7:$Q10)/T10-1</f>
        <v>254669.00999999978</v>
      </c>
      <c r="T10" s="17">
        <v>4</v>
      </c>
      <c r="U10" s="4"/>
      <c r="V10" s="131"/>
      <c r="W10" s="105">
        <v>-3244839</v>
      </c>
      <c r="X10" s="167"/>
      <c r="Y10" s="156">
        <f>Y9-K10-L10</f>
        <v>-3244840</v>
      </c>
      <c r="Z10" s="217"/>
      <c r="AA10" s="92"/>
    </row>
    <row r="11" spans="2:255">
      <c r="B11" s="116">
        <v>45284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82140.509999999776</v>
      </c>
      <c r="P11" s="163">
        <f t="shared" ref="P11:P48" si="5">(IF($Q11&lt;0,-$Q$3+P10,($Q11-$Q$3)+P10))</f>
        <v>410702.54999999888</v>
      </c>
      <c r="Q11" s="164">
        <v>203992.50999999978</v>
      </c>
      <c r="R11" s="29">
        <f t="shared" si="3"/>
        <v>150.58100052957607</v>
      </c>
      <c r="S11" s="5">
        <f>SUM($Q$7:$Q11)/T11</f>
        <v>244534.50999999978</v>
      </c>
      <c r="T11" s="17">
        <v>5</v>
      </c>
      <c r="U11" s="27"/>
      <c r="V11" s="134"/>
      <c r="W11" s="105">
        <v>-3244839</v>
      </c>
      <c r="X11" s="167"/>
      <c r="Y11" s="156">
        <f t="shared" ref="Y11:Y39" si="6">Y10-K11-L11</f>
        <v>-3244840</v>
      </c>
      <c r="Z11" s="217"/>
      <c r="AA11" s="92"/>
    </row>
    <row r="12" spans="2:255">
      <c r="B12" s="116">
        <v>45285</v>
      </c>
      <c r="C12" s="14" t="s">
        <v>242</v>
      </c>
      <c r="D12" s="87"/>
      <c r="E12" s="87"/>
      <c r="F12" s="23"/>
      <c r="G12" s="26"/>
      <c r="H12" s="132"/>
      <c r="I12" s="63"/>
      <c r="J12" s="63"/>
      <c r="K12" s="170"/>
      <c r="L12" s="171"/>
      <c r="M12" s="153"/>
      <c r="N12" s="149"/>
      <c r="O12" s="67">
        <f t="shared" si="2"/>
        <v>75383.509999999776</v>
      </c>
      <c r="P12" s="163">
        <f t="shared" si="5"/>
        <v>452301.05999999866</v>
      </c>
      <c r="Q12" s="164">
        <v>203992.50999999978</v>
      </c>
      <c r="R12" s="29">
        <f t="shared" si="3"/>
        <v>146.4201325172111</v>
      </c>
      <c r="S12" s="5">
        <f>SUM($Q$7:$Q12)/T12</f>
        <v>237777.50999999978</v>
      </c>
      <c r="T12" s="17">
        <v>6</v>
      </c>
      <c r="U12" s="138">
        <f>B12</f>
        <v>45285</v>
      </c>
      <c r="V12" s="310">
        <v>1477</v>
      </c>
      <c r="W12" s="105">
        <v>-3244839</v>
      </c>
      <c r="X12" s="167">
        <f>AVERAGE(W12:W20)</f>
        <v>-3175449.3333333335</v>
      </c>
      <c r="Y12" s="156">
        <f>Y11-K12-L12</f>
        <v>-3244840</v>
      </c>
      <c r="Z12" s="217">
        <f>AVERAGE(Y12:Y20)</f>
        <v>-3175450.3333333335</v>
      </c>
      <c r="AA12" s="92"/>
    </row>
    <row r="13" spans="2:255">
      <c r="B13" s="116">
        <v>45286</v>
      </c>
      <c r="C13" s="14" t="s">
        <v>242</v>
      </c>
      <c r="D13" s="87"/>
      <c r="E13" s="87"/>
      <c r="F13" s="23"/>
      <c r="G13" s="26"/>
      <c r="H13" s="132"/>
      <c r="I13" s="63"/>
      <c r="J13" s="63"/>
      <c r="K13" s="170"/>
      <c r="L13" s="171"/>
      <c r="M13" s="153"/>
      <c r="N13" s="149"/>
      <c r="O13" s="67">
        <f t="shared" si="2"/>
        <v>70556.938571428385</v>
      </c>
      <c r="P13" s="163">
        <f t="shared" si="5"/>
        <v>493898.56999999867</v>
      </c>
      <c r="Q13" s="164">
        <v>203991.51</v>
      </c>
      <c r="R13" s="29">
        <f t="shared" si="3"/>
        <v>143.44799596747933</v>
      </c>
      <c r="S13" s="5">
        <f>SUM($Q$7:$Q13)/T13</f>
        <v>232950.93857142839</v>
      </c>
      <c r="T13" s="17">
        <v>7</v>
      </c>
      <c r="U13" s="138">
        <f>B12+8</f>
        <v>45293</v>
      </c>
      <c r="V13" s="249"/>
      <c r="W13" s="105">
        <v>-3244839</v>
      </c>
      <c r="X13" s="167"/>
      <c r="Y13" s="156">
        <f>Y12-K13-L13</f>
        <v>-3244840</v>
      </c>
      <c r="Z13" s="217"/>
      <c r="AA13" s="92"/>
      <c r="AB13" s="92"/>
    </row>
    <row r="14" spans="2:255">
      <c r="B14" s="116">
        <v>45287</v>
      </c>
      <c r="C14" s="14"/>
      <c r="D14" s="87">
        <f>-8391+14085</f>
        <v>5694</v>
      </c>
      <c r="E14" s="87">
        <v>240</v>
      </c>
      <c r="F14" s="23">
        <v>-3458311</v>
      </c>
      <c r="G14" s="26">
        <f>D14+E14+F14-E9-F9</f>
        <v>-6944</v>
      </c>
      <c r="H14" s="132">
        <v>300</v>
      </c>
      <c r="I14" s="63">
        <v>-6150</v>
      </c>
      <c r="J14" s="63">
        <v>-900</v>
      </c>
      <c r="K14" s="170">
        <f t="shared" ref="K14:K48" si="7">+H14+I14+J14</f>
        <v>-6750</v>
      </c>
      <c r="L14" s="171">
        <v>-38</v>
      </c>
      <c r="M14" s="154"/>
      <c r="N14" s="149">
        <f>L14+K14+G14+M14</f>
        <v>-13732</v>
      </c>
      <c r="O14" s="67">
        <f>P14/T14+1</f>
        <v>65221.509999999835</v>
      </c>
      <c r="P14" s="163">
        <f t="shared" si="5"/>
        <v>521764.07999999868</v>
      </c>
      <c r="Q14" s="164">
        <f>Q13+N14</f>
        <v>190259.51</v>
      </c>
      <c r="R14" s="29">
        <f t="shared" si="3"/>
        <v>140.1711331699446</v>
      </c>
      <c r="S14" s="5">
        <f>SUM($Q$7:$Q14)/T14+15</f>
        <v>227629.50999999983</v>
      </c>
      <c r="T14" s="17">
        <v>8</v>
      </c>
      <c r="U14" s="4"/>
      <c r="V14" s="4"/>
      <c r="W14" s="105">
        <v>-3238051</v>
      </c>
      <c r="X14" s="167"/>
      <c r="Y14" s="156">
        <f>Y13-K14-L14</f>
        <v>-3238052</v>
      </c>
      <c r="Z14" s="217"/>
      <c r="AA14" s="92"/>
    </row>
    <row r="15" spans="2:255">
      <c r="B15" s="116">
        <v>45288</v>
      </c>
      <c r="C15" s="14" t="str">
        <f t="shared" si="0"/>
        <v/>
      </c>
      <c r="D15" s="87"/>
      <c r="E15" s="87">
        <v>240</v>
      </c>
      <c r="F15" s="23">
        <v>-3446572</v>
      </c>
      <c r="G15" s="26">
        <f>D15+E15+F15-E14-F14</f>
        <v>11739</v>
      </c>
      <c r="H15" s="132">
        <v>300</v>
      </c>
      <c r="I15" s="63">
        <v>-15100</v>
      </c>
      <c r="J15" s="63">
        <v>-900</v>
      </c>
      <c r="K15" s="170">
        <f t="shared" si="7"/>
        <v>-15700</v>
      </c>
      <c r="L15" s="172">
        <v>-41</v>
      </c>
      <c r="M15" s="153"/>
      <c r="N15" s="149">
        <f>L15+K15+G15+M15</f>
        <v>-4002</v>
      </c>
      <c r="O15" s="67">
        <f t="shared" si="2"/>
        <v>60622.065555555411</v>
      </c>
      <c r="P15" s="7">
        <f t="shared" si="5"/>
        <v>545598.58999999869</v>
      </c>
      <c r="Q15" s="164">
        <f>Q14+N15+1-30</f>
        <v>186228.51</v>
      </c>
      <c r="R15" s="29">
        <f t="shared" si="3"/>
        <v>137.33023729667067</v>
      </c>
      <c r="S15" s="5">
        <f>SUM($Q$7:$Q15)/T15</f>
        <v>223016.0655555554</v>
      </c>
      <c r="T15" s="17">
        <v>9</v>
      </c>
      <c r="U15" s="4"/>
      <c r="V15" s="4"/>
      <c r="W15" s="105">
        <v>-3222281</v>
      </c>
      <c r="X15" s="167"/>
      <c r="Y15" s="156">
        <f>Y14-K15-L15+29</f>
        <v>-3222282</v>
      </c>
      <c r="Z15" s="217"/>
      <c r="AA15" s="92"/>
      <c r="AB15" s="92"/>
    </row>
    <row r="16" spans="2:255" s="69" customFormat="1">
      <c r="B16" s="116">
        <v>45289</v>
      </c>
      <c r="C16" s="14"/>
      <c r="D16" s="129"/>
      <c r="E16" s="87">
        <v>10</v>
      </c>
      <c r="F16" s="23">
        <v>-3334822</v>
      </c>
      <c r="G16" s="26">
        <f>D16+E16+F16-E15-F15</f>
        <v>111520</v>
      </c>
      <c r="H16" s="132">
        <v>200</v>
      </c>
      <c r="I16" s="63">
        <v>-123000</v>
      </c>
      <c r="J16" s="63">
        <v>-900</v>
      </c>
      <c r="K16" s="170">
        <f t="shared" si="7"/>
        <v>-123700</v>
      </c>
      <c r="L16" s="172">
        <v>-31</v>
      </c>
      <c r="M16" s="153"/>
      <c r="N16" s="152">
        <f>L16+K16+G16+M16</f>
        <v>-12211</v>
      </c>
      <c r="O16" s="67">
        <f t="shared" si="2"/>
        <v>55722.309999999867</v>
      </c>
      <c r="P16" s="70">
        <f t="shared" si="5"/>
        <v>557223.0999999987</v>
      </c>
      <c r="Q16" s="164">
        <f>Q15+N16+1</f>
        <v>174018.51</v>
      </c>
      <c r="R16" s="71">
        <f t="shared" si="3"/>
        <v>134.31303496434589</v>
      </c>
      <c r="S16" s="72">
        <f>SUM($Q$7:$Q16)/T16</f>
        <v>218116.30999999988</v>
      </c>
      <c r="T16" s="73">
        <v>10</v>
      </c>
      <c r="U16" s="218"/>
      <c r="V16" s="133"/>
      <c r="W16" s="105">
        <v>-3098552</v>
      </c>
      <c r="X16" s="167"/>
      <c r="Y16" s="156">
        <f>Y15-K16-L16-2</f>
        <v>-3098553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45290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51713.419090908974</v>
      </c>
      <c r="P17" s="7">
        <f t="shared" si="5"/>
        <v>568847.60999999871</v>
      </c>
      <c r="Q17" s="164">
        <f t="shared" ref="Q17:Q18" si="8">Q16+N17</f>
        <v>174018.51</v>
      </c>
      <c r="R17" s="29">
        <f t="shared" si="3"/>
        <v>131.84441487426196</v>
      </c>
      <c r="S17" s="5">
        <f>SUM($Q$7:$Q17)/T17</f>
        <v>214107.41909090895</v>
      </c>
      <c r="T17" s="18">
        <v>11</v>
      </c>
      <c r="U17" s="27"/>
      <c r="V17" s="136"/>
      <c r="W17" s="105">
        <v>-3098552</v>
      </c>
      <c r="X17" s="167"/>
      <c r="Y17" s="156">
        <f t="shared" si="6"/>
        <v>-3098553</v>
      </c>
      <c r="Z17" s="217"/>
      <c r="AA17" s="92"/>
      <c r="AC17" s="92"/>
    </row>
    <row r="18" spans="2:31">
      <c r="B18" s="116">
        <v>45291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48372.676666666557</v>
      </c>
      <c r="P18" s="7">
        <f t="shared" si="5"/>
        <v>580472.11999999871</v>
      </c>
      <c r="Q18" s="164">
        <f t="shared" si="8"/>
        <v>174018.51</v>
      </c>
      <c r="R18" s="29">
        <f t="shared" si="3"/>
        <v>129.78723146585867</v>
      </c>
      <c r="S18" s="5">
        <f>SUM($Q$7:$Q18)/T18</f>
        <v>210766.67666666652</v>
      </c>
      <c r="T18" s="18">
        <v>12</v>
      </c>
      <c r="U18" s="27"/>
      <c r="V18" s="136"/>
      <c r="W18" s="105">
        <v>-3098552</v>
      </c>
      <c r="X18" s="167"/>
      <c r="Y18" s="156">
        <f t="shared" si="6"/>
        <v>-3098553</v>
      </c>
      <c r="Z18" s="217"/>
      <c r="AA18" s="92"/>
    </row>
    <row r="19" spans="2:31">
      <c r="B19" s="116">
        <v>45292</v>
      </c>
      <c r="C19" s="14" t="s">
        <v>242</v>
      </c>
      <c r="D19" s="87"/>
      <c r="E19" s="87"/>
      <c r="F19" s="23"/>
      <c r="G19" s="26"/>
      <c r="H19" s="132"/>
      <c r="I19" s="63"/>
      <c r="J19" s="63"/>
      <c r="K19" s="170"/>
      <c r="L19" s="171"/>
      <c r="M19" s="153"/>
      <c r="N19" s="149">
        <f t="shared" ref="N19:N48" si="9">L19+K19+G19+M19</f>
        <v>0</v>
      </c>
      <c r="O19" s="67">
        <f t="shared" si="2"/>
        <v>45545.894615384517</v>
      </c>
      <c r="P19" s="7">
        <f t="shared" si="5"/>
        <v>592096.62999999872</v>
      </c>
      <c r="Q19" s="164">
        <f>Q18+N19</f>
        <v>174018.51</v>
      </c>
      <c r="R19" s="29">
        <f t="shared" si="3"/>
        <v>128.04592202629681</v>
      </c>
      <c r="S19" s="5">
        <f>SUM($Q$7:$Q19)/T19-1</f>
        <v>207938.89461538446</v>
      </c>
      <c r="T19" s="18">
        <v>13</v>
      </c>
      <c r="U19" s="138">
        <f>B19</f>
        <v>45292</v>
      </c>
      <c r="V19" s="131">
        <v>1467.5</v>
      </c>
      <c r="W19" s="105">
        <v>-3098552</v>
      </c>
      <c r="X19" s="167">
        <f>IFERROR(AVERAGE(W19:W27),"")</f>
        <v>-3254336</v>
      </c>
      <c r="Y19" s="156">
        <f>Y18-K19-L19</f>
        <v>-3098553</v>
      </c>
      <c r="Z19" s="217">
        <f>AVERAGE(Y19:Y27)</f>
        <v>-3254336.888888889</v>
      </c>
      <c r="AA19" s="92"/>
      <c r="AD19" s="309"/>
    </row>
    <row r="20" spans="2:31">
      <c r="B20" s="116">
        <v>45293</v>
      </c>
      <c r="C20" s="14"/>
      <c r="D20" s="87"/>
      <c r="E20" s="87">
        <v>206</v>
      </c>
      <c r="F20" s="23">
        <v>-3490543</v>
      </c>
      <c r="G20" s="26">
        <f>D20+E20+F20-E16-F16</f>
        <v>-155525</v>
      </c>
      <c r="H20" s="132">
        <v>300</v>
      </c>
      <c r="I20" s="63">
        <v>134400</v>
      </c>
      <c r="J20" s="63">
        <v>1600</v>
      </c>
      <c r="K20" s="170">
        <f t="shared" si="7"/>
        <v>136300</v>
      </c>
      <c r="L20" s="171">
        <v>-25</v>
      </c>
      <c r="M20" s="153"/>
      <c r="N20" s="149">
        <f t="shared" si="9"/>
        <v>-19250</v>
      </c>
      <c r="O20" s="67">
        <f t="shared" si="2"/>
        <v>41747.93857142848</v>
      </c>
      <c r="P20" s="7">
        <f t="shared" si="5"/>
        <v>584471.13999999873</v>
      </c>
      <c r="Q20" s="164">
        <f>Q19+N20</f>
        <v>154768.51</v>
      </c>
      <c r="R20" s="29">
        <f t="shared" si="3"/>
        <v>125.70719273583286</v>
      </c>
      <c r="S20" s="5">
        <f>SUM($Q$7:$Q20)/T20-1</f>
        <v>204140.93857142841</v>
      </c>
      <c r="T20" s="18">
        <v>14</v>
      </c>
      <c r="U20" s="138">
        <f>B19+8</f>
        <v>45300</v>
      </c>
      <c r="V20" s="131"/>
      <c r="W20" s="105">
        <v>-3234826</v>
      </c>
      <c r="X20" s="167"/>
      <c r="Y20" s="156">
        <f>Y19-K20-L20+1</f>
        <v>-3234827</v>
      </c>
      <c r="Z20" s="217"/>
      <c r="AA20" s="92"/>
      <c r="AB20" s="92"/>
    </row>
    <row r="21" spans="2:31">
      <c r="B21" s="116">
        <v>45294</v>
      </c>
      <c r="C21" s="14" t="str">
        <f t="shared" si="0"/>
        <v/>
      </c>
      <c r="D21" s="87">
        <f>-14085+7375</f>
        <v>-6710</v>
      </c>
      <c r="E21" s="87">
        <v>0</v>
      </c>
      <c r="F21" s="23">
        <v>-3528638</v>
      </c>
      <c r="G21" s="26">
        <f>D21+E21+F21-E20-F20</f>
        <v>-45011</v>
      </c>
      <c r="H21" s="132">
        <v>8400</v>
      </c>
      <c r="I21" s="63">
        <v>20700</v>
      </c>
      <c r="J21" s="63">
        <v>1500</v>
      </c>
      <c r="K21" s="170">
        <f>+H21+I21+J21</f>
        <v>30600</v>
      </c>
      <c r="L21" s="171">
        <v>-49</v>
      </c>
      <c r="M21" s="153"/>
      <c r="N21" s="149">
        <f>L21+K21+G21+M21</f>
        <v>-14460</v>
      </c>
      <c r="O21" s="67">
        <f t="shared" si="2"/>
        <v>37492.443333333249</v>
      </c>
      <c r="P21" s="7">
        <f t="shared" si="5"/>
        <v>562386.64999999874</v>
      </c>
      <c r="Q21" s="164">
        <f>Q20+N21+1</f>
        <v>140309.51</v>
      </c>
      <c r="R21" s="29">
        <f t="shared" si="3"/>
        <v>123.08671707903814</v>
      </c>
      <c r="S21" s="5">
        <f>SUM($Q$7:$Q21)/T21-1</f>
        <v>199885.44333333318</v>
      </c>
      <c r="T21" s="18">
        <v>15</v>
      </c>
      <c r="U21" s="4"/>
      <c r="V21" s="131"/>
      <c r="W21" s="105">
        <v>-3265378</v>
      </c>
      <c r="X21" s="167"/>
      <c r="Y21" s="156">
        <f>Y20-K21-L21-1</f>
        <v>-3265379</v>
      </c>
      <c r="Z21" s="217"/>
      <c r="AA21" s="92"/>
    </row>
    <row r="22" spans="2:31">
      <c r="B22" s="116">
        <v>45295</v>
      </c>
      <c r="C22" s="14" t="str">
        <f t="shared" si="0"/>
        <v/>
      </c>
      <c r="D22" s="87"/>
      <c r="E22" s="87">
        <v>6</v>
      </c>
      <c r="F22" s="23">
        <v>-3536831</v>
      </c>
      <c r="G22" s="26">
        <f>D22+E22+F22-E21-F21</f>
        <v>-8187</v>
      </c>
      <c r="H22" s="132">
        <v>300</v>
      </c>
      <c r="I22" s="63">
        <v>11000</v>
      </c>
      <c r="J22" s="63">
        <v>1500</v>
      </c>
      <c r="K22" s="170">
        <f t="shared" si="7"/>
        <v>12800</v>
      </c>
      <c r="L22" s="171">
        <v>-45</v>
      </c>
      <c r="M22" s="153"/>
      <c r="N22" s="149">
        <f>L22+K22+G22+M22</f>
        <v>4568</v>
      </c>
      <c r="O22" s="67">
        <f t="shared" si="2"/>
        <v>34054.322499999922</v>
      </c>
      <c r="P22" s="7">
        <f t="shared" si="5"/>
        <v>544869.15999999875</v>
      </c>
      <c r="Q22" s="164">
        <f>Q21+N22-1</f>
        <v>144876.51</v>
      </c>
      <c r="R22" s="29">
        <f t="shared" si="3"/>
        <v>120.96956938064206</v>
      </c>
      <c r="S22" s="5">
        <f>SUM($Q$7:$Q22)/T22-1</f>
        <v>196447.32249999983</v>
      </c>
      <c r="T22" s="18">
        <v>16</v>
      </c>
      <c r="U22" s="4"/>
      <c r="V22" s="131"/>
      <c r="W22" s="105">
        <v>-3278132</v>
      </c>
      <c r="X22" s="167"/>
      <c r="Y22" s="156">
        <f>Y21-K22-L22+1</f>
        <v>-3278133</v>
      </c>
      <c r="Z22" s="217"/>
      <c r="AA22" s="92"/>
    </row>
    <row r="23" spans="2:31">
      <c r="B23" s="116">
        <v>45296</v>
      </c>
      <c r="C23" s="14"/>
      <c r="D23" s="87"/>
      <c r="E23" s="87">
        <v>0</v>
      </c>
      <c r="F23" s="23">
        <v>-3540135</v>
      </c>
      <c r="G23" s="26">
        <f>D23+E23+F23-E22-F22</f>
        <v>-3310</v>
      </c>
      <c r="H23" s="132">
        <v>200</v>
      </c>
      <c r="I23" s="63">
        <v>-3600</v>
      </c>
      <c r="J23" s="63">
        <v>1500</v>
      </c>
      <c r="K23" s="170">
        <f>+H23+I23+J23</f>
        <v>-1900</v>
      </c>
      <c r="L23" s="171">
        <v>27</v>
      </c>
      <c r="M23" s="153"/>
      <c r="N23" s="149">
        <f>L23+K23+G23+M23</f>
        <v>-5183</v>
      </c>
      <c r="O23" s="67">
        <f t="shared" si="2"/>
        <v>30715.804117646985</v>
      </c>
      <c r="P23" s="7">
        <f t="shared" si="5"/>
        <v>522168.66999999876</v>
      </c>
      <c r="Q23" s="164">
        <f>Q22+N23</f>
        <v>139693.51</v>
      </c>
      <c r="R23" s="29">
        <f t="shared" si="3"/>
        <v>118.91437129305693</v>
      </c>
      <c r="S23" s="5">
        <f>SUM($Q$7:$Q23)/T23</f>
        <v>193109.80411764688</v>
      </c>
      <c r="T23" s="18">
        <v>17</v>
      </c>
      <c r="U23" s="27"/>
      <c r="V23" s="135"/>
      <c r="W23" s="105">
        <v>-3276259</v>
      </c>
      <c r="X23" s="167"/>
      <c r="Y23" s="156">
        <f>Y22-K23-L23</f>
        <v>-3276260</v>
      </c>
      <c r="Z23" s="217"/>
      <c r="AA23" s="92"/>
    </row>
    <row r="24" spans="2:31">
      <c r="B24" s="116">
        <v>45297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27748.232222222156</v>
      </c>
      <c r="P24" s="7">
        <f t="shared" si="5"/>
        <v>499468.17999999877</v>
      </c>
      <c r="Q24" s="164">
        <f t="shared" ref="Q24:Q25" si="10">Q23+N24</f>
        <v>139693.51</v>
      </c>
      <c r="R24" s="29">
        <f t="shared" si="3"/>
        <v>117.08698118293906</v>
      </c>
      <c r="S24" s="5">
        <f>SUM($Q$7:$Q24)/T24</f>
        <v>190142.23222222205</v>
      </c>
      <c r="T24" s="18">
        <v>18</v>
      </c>
      <c r="U24" s="4"/>
      <c r="V24" s="135"/>
      <c r="W24" s="105">
        <v>-3276259</v>
      </c>
      <c r="X24" s="167"/>
      <c r="Y24" s="156">
        <f t="shared" si="6"/>
        <v>-3276260</v>
      </c>
      <c r="Z24" s="217"/>
      <c r="AA24" s="92"/>
      <c r="AD24" s="1"/>
      <c r="AE24" s="1"/>
    </row>
    <row r="25" spans="2:31">
      <c r="B25" s="116">
        <v>45298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25093.03631578941</v>
      </c>
      <c r="P25" s="7">
        <f t="shared" si="5"/>
        <v>476767.68999999878</v>
      </c>
      <c r="Q25" s="164">
        <f t="shared" si="10"/>
        <v>139693.51</v>
      </c>
      <c r="R25" s="29">
        <f t="shared" si="3"/>
        <v>115.45194792651779</v>
      </c>
      <c r="S25" s="5">
        <f>SUM($Q$7:$Q25)/T25</f>
        <v>187487.0363157893</v>
      </c>
      <c r="T25" s="18">
        <v>19</v>
      </c>
      <c r="U25" s="4"/>
      <c r="V25" s="131"/>
      <c r="W25" s="105">
        <v>-3276259</v>
      </c>
      <c r="X25" s="167"/>
      <c r="Y25" s="156">
        <f t="shared" si="6"/>
        <v>-3276260</v>
      </c>
      <c r="Z25" s="217"/>
      <c r="AA25" s="92"/>
      <c r="AD25" s="1"/>
      <c r="AE25" s="1"/>
    </row>
    <row r="26" spans="2:31">
      <c r="B26" s="116">
        <v>45299</v>
      </c>
      <c r="C26" s="14"/>
      <c r="D26" s="87"/>
      <c r="E26" s="87">
        <v>0</v>
      </c>
      <c r="F26" s="23">
        <v>-3550056</v>
      </c>
      <c r="G26" s="26">
        <f>D26+E26+F26-E23-F23</f>
        <v>-9921</v>
      </c>
      <c r="H26" s="132">
        <v>200</v>
      </c>
      <c r="I26" s="63">
        <v>12250</v>
      </c>
      <c r="J26" s="63">
        <v>300</v>
      </c>
      <c r="K26" s="170">
        <f t="shared" si="7"/>
        <v>12750</v>
      </c>
      <c r="L26" s="171">
        <v>44</v>
      </c>
      <c r="M26" s="153"/>
      <c r="N26" s="149">
        <f t="shared" si="9"/>
        <v>2873</v>
      </c>
      <c r="O26" s="67">
        <f t="shared" si="2"/>
        <v>22847.00999999994</v>
      </c>
      <c r="P26" s="7">
        <f t="shared" si="5"/>
        <v>456940.19999999879</v>
      </c>
      <c r="Q26" s="164">
        <f>Q25+N26</f>
        <v>142566.51</v>
      </c>
      <c r="R26" s="29">
        <f t="shared" si="3"/>
        <v>114.07133884256797</v>
      </c>
      <c r="S26" s="5">
        <f>SUM($Q$7:$Q26)/T26+4</f>
        <v>185245.00999999983</v>
      </c>
      <c r="T26" s="18">
        <v>20</v>
      </c>
      <c r="U26" s="138">
        <f>B26</f>
        <v>45299</v>
      </c>
      <c r="V26" s="131">
        <v>1401</v>
      </c>
      <c r="W26" s="105">
        <v>-3289053</v>
      </c>
      <c r="X26" s="167">
        <f>IFERROR(AVERAGE(W26:W34),"")</f>
        <v>-3295297</v>
      </c>
      <c r="Y26" s="156">
        <f>Y25-K26-L26</f>
        <v>-3289054</v>
      </c>
      <c r="Z26" s="217">
        <f>AVERAGE(Y26:Y34)</f>
        <v>-3295297.111111111</v>
      </c>
      <c r="AC26" s="92"/>
      <c r="AD26" s="1"/>
      <c r="AE26" s="1"/>
    </row>
    <row r="27" spans="2:31">
      <c r="B27" s="116">
        <v>45300</v>
      </c>
      <c r="C27" s="14" t="str">
        <f t="shared" si="0"/>
        <v/>
      </c>
      <c r="D27" s="87"/>
      <c r="E27" s="87">
        <v>2</v>
      </c>
      <c r="F27" s="23">
        <v>-3554263</v>
      </c>
      <c r="G27" s="26">
        <f>D27+E27+F27-E26-F26</f>
        <v>-4205</v>
      </c>
      <c r="H27" s="132">
        <v>300</v>
      </c>
      <c r="I27" s="63">
        <v>4700</v>
      </c>
      <c r="J27" s="63">
        <v>300</v>
      </c>
      <c r="K27" s="170">
        <f t="shared" si="7"/>
        <v>5300</v>
      </c>
      <c r="L27" s="171">
        <v>-49</v>
      </c>
      <c r="M27" s="153"/>
      <c r="N27" s="149">
        <f>L27+K27+G27+M27</f>
        <v>1046</v>
      </c>
      <c r="O27" s="67">
        <f t="shared" si="2"/>
        <v>20864.748095238039</v>
      </c>
      <c r="P27" s="7">
        <f t="shared" si="5"/>
        <v>438159.7099999988</v>
      </c>
      <c r="Q27" s="164">
        <f>Q26+N27+1</f>
        <v>143613.51</v>
      </c>
      <c r="R27" s="29">
        <f t="shared" si="3"/>
        <v>112.81866823604192</v>
      </c>
      <c r="S27" s="5">
        <f>SUM($Q$7:$Q27)/T27-48</f>
        <v>183210.74809523791</v>
      </c>
      <c r="T27" s="18">
        <v>21</v>
      </c>
      <c r="U27" s="138">
        <f>B28+6</f>
        <v>45307</v>
      </c>
      <c r="V27" s="159"/>
      <c r="W27" s="105">
        <v>-3294306</v>
      </c>
      <c r="X27" s="167"/>
      <c r="Y27" s="156">
        <f>Y26-K27-L27-1</f>
        <v>-3294306</v>
      </c>
      <c r="Z27" s="217"/>
      <c r="AA27" s="92"/>
      <c r="AD27" s="1"/>
      <c r="AE27" s="1"/>
    </row>
    <row r="28" spans="2:31">
      <c r="B28" s="116">
        <v>45301</v>
      </c>
      <c r="C28" s="14" t="str">
        <f t="shared" si="0"/>
        <v/>
      </c>
      <c r="D28" s="87">
        <f>-7375+5960</f>
        <v>-1415</v>
      </c>
      <c r="E28" s="87">
        <v>33</v>
      </c>
      <c r="F28" s="23">
        <v>-3543414</v>
      </c>
      <c r="G28" s="26">
        <f>D28+E28+F28-E27-F27</f>
        <v>9465</v>
      </c>
      <c r="H28" s="132">
        <v>300</v>
      </c>
      <c r="I28" s="63">
        <v>-3300</v>
      </c>
      <c r="J28" s="63">
        <v>300</v>
      </c>
      <c r="K28" s="170">
        <f t="shared" si="7"/>
        <v>-2700</v>
      </c>
      <c r="L28" s="171">
        <v>38</v>
      </c>
      <c r="M28" s="153"/>
      <c r="N28" s="149">
        <f>L28+K28+G28+M28</f>
        <v>6803</v>
      </c>
      <c r="O28" s="67">
        <f t="shared" si="2"/>
        <v>19371.919090909036</v>
      </c>
      <c r="P28" s="7">
        <f t="shared" si="5"/>
        <v>426182.21999999881</v>
      </c>
      <c r="Q28" s="164">
        <f>Q27+N28</f>
        <v>150416.51</v>
      </c>
      <c r="R28" s="29">
        <f t="shared" si="3"/>
        <v>111.92834654661436</v>
      </c>
      <c r="S28" s="5">
        <f>SUM($Q$7:$Q28)/T28-1</f>
        <v>181764.91909090892</v>
      </c>
      <c r="T28" s="18">
        <v>22</v>
      </c>
      <c r="U28" s="4"/>
      <c r="V28" s="131"/>
      <c r="W28" s="105">
        <v>-3291643</v>
      </c>
      <c r="X28" s="167"/>
      <c r="Y28" s="156">
        <f>Y27-K28-L28+1</f>
        <v>-3291643</v>
      </c>
      <c r="Z28" s="217"/>
      <c r="AA28" s="92"/>
      <c r="AD28" s="1"/>
      <c r="AE28" s="1"/>
    </row>
    <row r="29" spans="2:31">
      <c r="B29" s="116">
        <v>45302</v>
      </c>
      <c r="C29" s="14" t="str">
        <f t="shared" si="0"/>
        <v/>
      </c>
      <c r="D29" s="87"/>
      <c r="E29" s="87">
        <v>6</v>
      </c>
      <c r="F29" s="23">
        <v>-3565220</v>
      </c>
      <c r="G29" s="26">
        <f>D29+E29+F29-E28-F28</f>
        <v>-21833</v>
      </c>
      <c r="H29" s="132">
        <v>300</v>
      </c>
      <c r="I29" s="63">
        <v>7300</v>
      </c>
      <c r="J29" s="63">
        <v>300</v>
      </c>
      <c r="K29" s="170">
        <f t="shared" si="7"/>
        <v>7900</v>
      </c>
      <c r="L29" s="171">
        <v>17</v>
      </c>
      <c r="M29" s="153"/>
      <c r="N29" s="149">
        <f>L29+K29+G29+M29</f>
        <v>-13916</v>
      </c>
      <c r="O29" s="67">
        <f t="shared" si="2"/>
        <v>17403.814347826035</v>
      </c>
      <c r="P29" s="7">
        <f t="shared" si="5"/>
        <v>400287.72999999882</v>
      </c>
      <c r="Q29" s="164">
        <f>Q28+N29-1</f>
        <v>136499.51</v>
      </c>
      <c r="R29" s="29">
        <f t="shared" si="3"/>
        <v>110.71641461373321</v>
      </c>
      <c r="S29" s="5">
        <f>SUM($Q$7:$Q29)/T29-1</f>
        <v>179796.81434782592</v>
      </c>
      <c r="T29" s="18">
        <v>23</v>
      </c>
      <c r="U29" s="4"/>
      <c r="V29" s="131"/>
      <c r="W29" s="105">
        <v>-3299559</v>
      </c>
      <c r="X29" s="167"/>
      <c r="Y29" s="156">
        <f>Y28-K29-L29+1</f>
        <v>-3299559</v>
      </c>
      <c r="Z29" s="217"/>
      <c r="AA29" s="92"/>
      <c r="AD29" s="1"/>
      <c r="AE29" s="1"/>
    </row>
    <row r="30" spans="2:31">
      <c r="B30" s="116">
        <v>45303</v>
      </c>
      <c r="C30" s="14" t="str">
        <f t="shared" si="0"/>
        <v/>
      </c>
      <c r="D30" s="87"/>
      <c r="E30" s="87">
        <v>0</v>
      </c>
      <c r="F30" s="23">
        <v>-3567187</v>
      </c>
      <c r="G30" s="26">
        <f>D30+E30+F30-E29-F29</f>
        <v>-1973</v>
      </c>
      <c r="H30" s="132">
        <v>300</v>
      </c>
      <c r="I30" s="25">
        <v>1100</v>
      </c>
      <c r="J30" s="25">
        <v>300</v>
      </c>
      <c r="K30" s="170">
        <f t="shared" si="7"/>
        <v>1700</v>
      </c>
      <c r="L30" s="171">
        <v>35</v>
      </c>
      <c r="M30" s="153"/>
      <c r="N30" s="149">
        <f>L30+K30+G30+M30</f>
        <v>-238</v>
      </c>
      <c r="O30" s="67">
        <f t="shared" si="2"/>
        <v>15589.801666666617</v>
      </c>
      <c r="P30" s="7">
        <f t="shared" si="5"/>
        <v>374155.23999999883</v>
      </c>
      <c r="Q30" s="164">
        <f>Q29+N30</f>
        <v>136261.51</v>
      </c>
      <c r="R30" s="29">
        <f t="shared" si="3"/>
        <v>109.60306517892687</v>
      </c>
      <c r="S30" s="5">
        <f>SUM($Q$7:$Q30)/T30+5</f>
        <v>177988.80166666649</v>
      </c>
      <c r="T30" s="18">
        <v>24</v>
      </c>
      <c r="U30" s="4"/>
      <c r="V30" s="131"/>
      <c r="W30" s="105">
        <v>-3301294</v>
      </c>
      <c r="X30" s="167"/>
      <c r="Y30" s="156">
        <f>Y29-K30-L30</f>
        <v>-3301294</v>
      </c>
      <c r="Z30" s="217"/>
      <c r="AA30" s="92"/>
      <c r="AD30" s="1"/>
      <c r="AE30" s="1"/>
    </row>
    <row r="31" spans="2:31">
      <c r="B31" s="116">
        <v>45304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13920.909999999953</v>
      </c>
      <c r="P31" s="7">
        <f t="shared" si="5"/>
        <v>348022.74999999884</v>
      </c>
      <c r="Q31" s="164">
        <f t="shared" ref="Q31:Q39" si="11">Q30+N31</f>
        <v>136261.51</v>
      </c>
      <c r="R31" s="29">
        <f t="shared" si="3"/>
        <v>108.57168984075753</v>
      </c>
      <c r="S31" s="5">
        <f>SUM($Q$7:$Q31)/T31-1</f>
        <v>176313.9099999998</v>
      </c>
      <c r="T31" s="18">
        <v>25</v>
      </c>
      <c r="U31" s="4"/>
      <c r="V31" s="137"/>
      <c r="W31" s="105">
        <v>-3301294</v>
      </c>
      <c r="X31" s="167"/>
      <c r="Y31" s="156">
        <f t="shared" si="6"/>
        <v>-3301294</v>
      </c>
      <c r="Z31" s="217"/>
      <c r="AA31" s="92"/>
      <c r="AB31" s="92"/>
      <c r="AD31" s="1"/>
      <c r="AE31" s="1"/>
    </row>
    <row r="32" spans="2:31">
      <c r="B32" s="116">
        <v>45305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12380.394615384572</v>
      </c>
      <c r="P32" s="7">
        <f t="shared" si="5"/>
        <v>321890.25999999885</v>
      </c>
      <c r="Q32" s="164">
        <f t="shared" si="11"/>
        <v>136261.51</v>
      </c>
      <c r="R32" s="29">
        <f t="shared" si="3"/>
        <v>107.62306157578753</v>
      </c>
      <c r="S32" s="5">
        <f>SUM($Q$7:$Q32)/T32-1</f>
        <v>174773.39461538443</v>
      </c>
      <c r="T32" s="18">
        <v>26</v>
      </c>
      <c r="U32" s="27"/>
      <c r="V32" s="137"/>
      <c r="W32" s="105">
        <v>-3301294</v>
      </c>
      <c r="X32" s="167"/>
      <c r="Y32" s="156">
        <f t="shared" si="6"/>
        <v>-3301294</v>
      </c>
      <c r="Z32" s="217"/>
      <c r="AD32" s="1"/>
      <c r="AE32" s="1"/>
    </row>
    <row r="33" spans="2:31">
      <c r="B33" s="116">
        <v>45306</v>
      </c>
      <c r="C33" s="14" t="str">
        <f t="shared" si="0"/>
        <v/>
      </c>
      <c r="D33" s="87"/>
      <c r="E33" s="87">
        <v>6</v>
      </c>
      <c r="F33" s="23">
        <v>-3551416</v>
      </c>
      <c r="G33" s="26">
        <f>D33+E33+F33-E30-F30</f>
        <v>15777</v>
      </c>
      <c r="H33" s="132">
        <v>300</v>
      </c>
      <c r="I33" s="25">
        <v>-13300</v>
      </c>
      <c r="J33" s="25">
        <v>300</v>
      </c>
      <c r="K33" s="170">
        <f t="shared" si="7"/>
        <v>-12700</v>
      </c>
      <c r="L33" s="320">
        <v>41</v>
      </c>
      <c r="M33" s="153"/>
      <c r="N33" s="149">
        <f t="shared" si="9"/>
        <v>3118</v>
      </c>
      <c r="O33" s="67">
        <f t="shared" si="2"/>
        <v>11069.47296296292</v>
      </c>
      <c r="P33" s="7">
        <f t="shared" si="5"/>
        <v>298875.76999999885</v>
      </c>
      <c r="Q33" s="164">
        <f>Q32+N33</f>
        <v>139379.51</v>
      </c>
      <c r="R33" s="29">
        <f t="shared" si="3"/>
        <v>106.79364567838886</v>
      </c>
      <c r="S33" s="5">
        <f>SUM($Q$7:$Q33)/T33-37</f>
        <v>173426.47296296278</v>
      </c>
      <c r="T33" s="18">
        <v>27</v>
      </c>
      <c r="U33" s="138">
        <f>B33</f>
        <v>45306</v>
      </c>
      <c r="V33" s="131">
        <v>1421.7</v>
      </c>
      <c r="W33" s="105">
        <v>-3288634</v>
      </c>
      <c r="X33" s="167">
        <f>IFERROR(AVERAGE(W33:W41),"")</f>
        <v>-3274161.4444444445</v>
      </c>
      <c r="Y33" s="156">
        <f>Y32-K33-L33+1</f>
        <v>-3288634</v>
      </c>
      <c r="Z33" s="217">
        <f>AVERAGE(Y33:Y41)</f>
        <v>-3274161.5555555555</v>
      </c>
      <c r="AD33" s="1"/>
      <c r="AE33" s="1"/>
    </row>
    <row r="34" spans="2:31">
      <c r="B34" s="116">
        <v>45307</v>
      </c>
      <c r="C34" s="14" t="str">
        <f t="shared" si="0"/>
        <v/>
      </c>
      <c r="D34" s="87"/>
      <c r="E34" s="87">
        <v>231</v>
      </c>
      <c r="F34" s="23">
        <v>-3549886</v>
      </c>
      <c r="G34" s="26">
        <f>D34+E34+F34-E33-F33</f>
        <v>1755</v>
      </c>
      <c r="H34" s="132">
        <v>2800</v>
      </c>
      <c r="I34" s="25">
        <v>-1100</v>
      </c>
      <c r="J34" s="25">
        <v>300</v>
      </c>
      <c r="K34" s="170">
        <f t="shared" si="7"/>
        <v>2000</v>
      </c>
      <c r="L34" s="171">
        <v>-37</v>
      </c>
      <c r="M34" s="153"/>
      <c r="N34" s="149">
        <f>L34+K34+G34+M34</f>
        <v>3718</v>
      </c>
      <c r="O34" s="67">
        <f t="shared" si="2"/>
        <v>9984.9028571428171</v>
      </c>
      <c r="P34" s="7">
        <f t="shared" si="5"/>
        <v>279577.27999999886</v>
      </c>
      <c r="Q34" s="164">
        <f>Q33+N34-2</f>
        <v>143095.51</v>
      </c>
      <c r="R34" s="29">
        <f t="shared" si="3"/>
        <v>106.14795057523226</v>
      </c>
      <c r="S34" s="5">
        <f>SUM($Q$7:$Q34)/T34-1</f>
        <v>172377.90285714268</v>
      </c>
      <c r="T34" s="18">
        <v>28</v>
      </c>
      <c r="U34" s="138">
        <f>B33+8</f>
        <v>45314</v>
      </c>
      <c r="V34" s="131"/>
      <c r="W34" s="105">
        <v>-3290596</v>
      </c>
      <c r="X34" s="167"/>
      <c r="Y34" s="156">
        <f>Y33-K34-L34+1</f>
        <v>-3290596</v>
      </c>
      <c r="Z34" s="217"/>
      <c r="AA34" s="92"/>
      <c r="AD34" s="1"/>
      <c r="AE34" s="1"/>
    </row>
    <row r="35" spans="2:31">
      <c r="B35" s="116">
        <v>45308</v>
      </c>
      <c r="C35" s="14" t="str">
        <f t="shared" si="0"/>
        <v/>
      </c>
      <c r="D35" s="87">
        <f>-5960+5864</f>
        <v>-96</v>
      </c>
      <c r="E35" s="87">
        <v>30</v>
      </c>
      <c r="F35" s="23">
        <v>-3541687</v>
      </c>
      <c r="G35" s="26">
        <f>D35+E35+F35-E34-F34</f>
        <v>7902</v>
      </c>
      <c r="H35" s="132">
        <v>300</v>
      </c>
      <c r="I35" s="25">
        <v>-11600</v>
      </c>
      <c r="J35" s="25">
        <v>300</v>
      </c>
      <c r="K35" s="170">
        <f t="shared" si="7"/>
        <v>-11000</v>
      </c>
      <c r="L35" s="171">
        <v>-32</v>
      </c>
      <c r="M35" s="153"/>
      <c r="N35" s="149">
        <f t="shared" si="9"/>
        <v>-3130</v>
      </c>
      <c r="O35" s="67">
        <f t="shared" si="2"/>
        <v>8867.2341379309964</v>
      </c>
      <c r="P35" s="7">
        <f t="shared" si="5"/>
        <v>257149.78999999887</v>
      </c>
      <c r="Q35" s="164">
        <f>Q34+N35+1</f>
        <v>139966.51</v>
      </c>
      <c r="R35" s="29">
        <f t="shared" si="3"/>
        <v>105.46032127906872</v>
      </c>
      <c r="S35" s="5">
        <f>SUM($Q$7:$Q35)/T35</f>
        <v>171261.23413793085</v>
      </c>
      <c r="T35" s="18">
        <v>29</v>
      </c>
      <c r="U35" s="4"/>
      <c r="V35" s="131"/>
      <c r="W35" s="105">
        <v>-3279565</v>
      </c>
      <c r="X35" s="167"/>
      <c r="Y35" s="156">
        <f>Y34-K35-L35-1</f>
        <v>-3279565</v>
      </c>
      <c r="Z35" s="217"/>
      <c r="AA35" s="92"/>
      <c r="AD35" s="1"/>
      <c r="AE35" s="1"/>
    </row>
    <row r="36" spans="2:31">
      <c r="B36" s="116">
        <v>45309</v>
      </c>
      <c r="C36" s="14" t="str">
        <f t="shared" si="0"/>
        <v/>
      </c>
      <c r="D36" s="87"/>
      <c r="E36" s="87">
        <v>20</v>
      </c>
      <c r="F36" s="23">
        <v>-3526850</v>
      </c>
      <c r="G36" s="26">
        <f>D36+E36+F36-E35-F35</f>
        <v>14827</v>
      </c>
      <c r="H36" s="132">
        <v>300</v>
      </c>
      <c r="I36" s="25">
        <v>-13000</v>
      </c>
      <c r="J36" s="25">
        <v>300</v>
      </c>
      <c r="K36" s="170">
        <f t="shared" si="7"/>
        <v>-12400</v>
      </c>
      <c r="L36" s="171">
        <v>-30</v>
      </c>
      <c r="M36" s="153"/>
      <c r="N36" s="149">
        <f t="shared" si="9"/>
        <v>2397</v>
      </c>
      <c r="O36" s="67">
        <f t="shared" si="2"/>
        <v>7903.9433333332963</v>
      </c>
      <c r="P36" s="7">
        <f t="shared" si="5"/>
        <v>237118.29999999888</v>
      </c>
      <c r="Q36" s="164">
        <f>Q35+N36-1</f>
        <v>142362.51</v>
      </c>
      <c r="R36" s="29">
        <f t="shared" si="3"/>
        <v>104.86652421476973</v>
      </c>
      <c r="S36" s="5">
        <f>SUM($Q$7:$Q36)/T36-1</f>
        <v>170296.94333333315</v>
      </c>
      <c r="T36" s="18">
        <v>30</v>
      </c>
      <c r="U36" s="4"/>
      <c r="V36" s="136"/>
      <c r="W36" s="105">
        <v>-3267134</v>
      </c>
      <c r="X36" s="167"/>
      <c r="Y36" s="156">
        <f>Y35-K36-L36</f>
        <v>-3267135</v>
      </c>
      <c r="Z36" s="217"/>
      <c r="AD36" s="1"/>
      <c r="AE36" s="1"/>
    </row>
    <row r="37" spans="2:31">
      <c r="B37" s="116">
        <v>45310</v>
      </c>
      <c r="C37" s="14"/>
      <c r="D37" s="87"/>
      <c r="E37" s="87">
        <v>0</v>
      </c>
      <c r="F37" s="23">
        <v>-3504253</v>
      </c>
      <c r="G37" s="26">
        <f>D37+E37+F37-E36-F36</f>
        <v>22577</v>
      </c>
      <c r="H37" s="132">
        <v>300</v>
      </c>
      <c r="I37" s="25">
        <v>-3300</v>
      </c>
      <c r="J37" s="25">
        <v>300</v>
      </c>
      <c r="K37" s="170">
        <f t="shared" si="7"/>
        <v>-2700</v>
      </c>
      <c r="L37" s="171">
        <v>34</v>
      </c>
      <c r="M37" s="153"/>
      <c r="N37" s="149">
        <f t="shared" si="9"/>
        <v>19911</v>
      </c>
      <c r="O37" s="67">
        <f t="shared" si="2"/>
        <v>7645.1229032257706</v>
      </c>
      <c r="P37" s="7">
        <f t="shared" si="5"/>
        <v>236998.80999999889</v>
      </c>
      <c r="Q37" s="164">
        <f>Q36+N37+1</f>
        <v>162274.51</v>
      </c>
      <c r="R37" s="29">
        <f t="shared" si="3"/>
        <v>104.70837771298547</v>
      </c>
      <c r="S37" s="5">
        <f>SUM($Q$7:$Q37)/T37+1</f>
        <v>170040.12290322562</v>
      </c>
      <c r="T37" s="18">
        <v>31</v>
      </c>
      <c r="U37" s="27"/>
      <c r="V37" s="137"/>
      <c r="W37" s="105">
        <v>-3264469</v>
      </c>
      <c r="X37" s="167"/>
      <c r="Y37" s="156">
        <f>Y36-K37-L37</f>
        <v>-3264469</v>
      </c>
      <c r="Z37" s="217"/>
      <c r="AA37" s="92"/>
      <c r="AD37" s="1"/>
      <c r="AE37" s="1"/>
    </row>
    <row r="38" spans="2:31">
      <c r="B38" s="116">
        <v>45311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7402.4787499999657</v>
      </c>
      <c r="P38" s="7">
        <f t="shared" si="5"/>
        <v>236879.3199999989</v>
      </c>
      <c r="Q38" s="164">
        <f t="shared" si="11"/>
        <v>162274.51</v>
      </c>
      <c r="R38" s="29">
        <f t="shared" si="3"/>
        <v>104.55834498195735</v>
      </c>
      <c r="S38" s="5">
        <f>SUM($Q$7:$Q38)/T38</f>
        <v>169796.47874999981</v>
      </c>
      <c r="T38" s="18">
        <v>32</v>
      </c>
      <c r="U38" s="27"/>
      <c r="V38" s="137"/>
      <c r="W38" s="105">
        <v>-3264469</v>
      </c>
      <c r="X38" s="167"/>
      <c r="Y38" s="156">
        <f t="shared" si="6"/>
        <v>-3264469</v>
      </c>
      <c r="Z38" s="217"/>
      <c r="AD38" s="1"/>
      <c r="AE38" s="1"/>
    </row>
    <row r="39" spans="2:31">
      <c r="B39" s="116">
        <v>45312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7174.5403030302696</v>
      </c>
      <c r="P39" s="7">
        <f t="shared" si="5"/>
        <v>236759.82999999891</v>
      </c>
      <c r="Q39" s="164">
        <f t="shared" si="11"/>
        <v>162274.51</v>
      </c>
      <c r="R39" s="29">
        <f t="shared" si="3"/>
        <v>104.41798360963466</v>
      </c>
      <c r="S39" s="5">
        <f>SUM($Q$7:$Q39)/T39</f>
        <v>169568.54030303011</v>
      </c>
      <c r="T39" s="18">
        <v>33</v>
      </c>
      <c r="U39" s="27"/>
      <c r="V39" s="137"/>
      <c r="W39" s="105">
        <v>-3264469</v>
      </c>
      <c r="X39" s="167"/>
      <c r="Y39" s="156">
        <f t="shared" si="6"/>
        <v>-3264469</v>
      </c>
      <c r="Z39" s="217"/>
      <c r="AD39" s="1"/>
      <c r="AE39" s="1"/>
    </row>
    <row r="40" spans="2:31">
      <c r="B40" s="116">
        <v>45313</v>
      </c>
      <c r="C40" s="14"/>
      <c r="D40" s="87"/>
      <c r="E40" s="87">
        <v>0</v>
      </c>
      <c r="F40" s="23">
        <v>-3531197</v>
      </c>
      <c r="G40" s="26">
        <f>D40+E40+F40-E37-F37</f>
        <v>-26944</v>
      </c>
      <c r="H40" s="132">
        <v>300</v>
      </c>
      <c r="I40" s="25">
        <v>9100</v>
      </c>
      <c r="J40" s="25">
        <v>500</v>
      </c>
      <c r="K40" s="170">
        <f t="shared" si="7"/>
        <v>9900</v>
      </c>
      <c r="L40" s="171">
        <v>14</v>
      </c>
      <c r="M40" s="153"/>
      <c r="N40" s="149">
        <f t="shared" si="9"/>
        <v>-17030</v>
      </c>
      <c r="O40" s="67">
        <f t="shared" si="2"/>
        <v>6459.0688235293801</v>
      </c>
      <c r="P40" s="7">
        <f t="shared" si="5"/>
        <v>219608.33999999892</v>
      </c>
      <c r="Q40" s="164">
        <f>Q39+N40-2</f>
        <v>145242.51</v>
      </c>
      <c r="R40" s="29">
        <f t="shared" si="3"/>
        <v>103.97679028999175</v>
      </c>
      <c r="S40" s="5">
        <f>SUM($Q$7:$Q40)/T40-1</f>
        <v>168852.0688235292</v>
      </c>
      <c r="T40" s="18">
        <v>34</v>
      </c>
      <c r="U40" s="138">
        <f>B40</f>
        <v>45313</v>
      </c>
      <c r="V40" s="131">
        <v>1418.8</v>
      </c>
      <c r="W40" s="105">
        <v>-3274381</v>
      </c>
      <c r="X40" s="167">
        <f>IFERROR(AVERAGE(W40:W48),"")</f>
        <v>-3276412.111111111</v>
      </c>
      <c r="Y40" s="156">
        <f>Y39-K40-L40+2</f>
        <v>-3274381</v>
      </c>
      <c r="Z40" s="217">
        <f>AVERAGE(Y40:Y48)</f>
        <v>-3276412.4444444445</v>
      </c>
      <c r="AD40" s="1"/>
      <c r="AE40" s="1"/>
    </row>
    <row r="41" spans="2:31">
      <c r="B41" s="116">
        <v>45314</v>
      </c>
      <c r="C41" s="14" t="str">
        <f t="shared" si="0"/>
        <v/>
      </c>
      <c r="D41" s="87"/>
      <c r="E41" s="87">
        <v>25</v>
      </c>
      <c r="F41" s="23">
        <v>-3527437</v>
      </c>
      <c r="G41" s="26">
        <f>D41+E41+F41-E40-F40</f>
        <v>3785</v>
      </c>
      <c r="H41" s="132">
        <v>2800</v>
      </c>
      <c r="I41" s="25">
        <v>-3900</v>
      </c>
      <c r="J41" s="25">
        <v>500</v>
      </c>
      <c r="K41" s="170">
        <f t="shared" si="7"/>
        <v>-600</v>
      </c>
      <c r="L41" s="171">
        <v>-44</v>
      </c>
      <c r="M41" s="153"/>
      <c r="N41" s="149">
        <f t="shared" si="9"/>
        <v>3141</v>
      </c>
      <c r="O41" s="67">
        <f t="shared" si="2"/>
        <v>5874.2242857142555</v>
      </c>
      <c r="P41" s="7">
        <f t="shared" si="5"/>
        <v>205597.84999999893</v>
      </c>
      <c r="Q41" s="164">
        <f>Q40+N41</f>
        <v>148383.51</v>
      </c>
      <c r="R41" s="29">
        <f t="shared" si="3"/>
        <v>103.6178826100189</v>
      </c>
      <c r="S41" s="5">
        <f>SUM($Q$7:$Q41)/T41+1</f>
        <v>168269.2242857141</v>
      </c>
      <c r="T41" s="18">
        <v>35</v>
      </c>
      <c r="U41" s="138">
        <f>B40+8</f>
        <v>45321</v>
      </c>
      <c r="V41" s="137"/>
      <c r="W41" s="105">
        <v>-3273736</v>
      </c>
      <c r="X41" s="167"/>
      <c r="Y41" s="156">
        <f>Y40-K41-L41+1</f>
        <v>-3273736</v>
      </c>
      <c r="Z41" s="217"/>
      <c r="AD41" s="1"/>
      <c r="AE41" s="1"/>
    </row>
    <row r="42" spans="2:31">
      <c r="B42" s="116">
        <v>45315</v>
      </c>
      <c r="C42" s="14" t="str">
        <f t="shared" si="0"/>
        <v/>
      </c>
      <c r="D42" s="87">
        <f>-5864+5649</f>
        <v>-215</v>
      </c>
      <c r="E42" s="87">
        <v>0</v>
      </c>
      <c r="F42" s="23">
        <v>-3518373</v>
      </c>
      <c r="G42" s="26">
        <f>D42+E42+F42-E41-F41</f>
        <v>8824</v>
      </c>
      <c r="H42" s="132">
        <v>300</v>
      </c>
      <c r="I42" s="25">
        <v>6500</v>
      </c>
      <c r="J42" s="25">
        <v>500</v>
      </c>
      <c r="K42" s="170">
        <f t="shared" si="7"/>
        <v>7300</v>
      </c>
      <c r="L42" s="171">
        <v>-19</v>
      </c>
      <c r="M42" s="153"/>
      <c r="N42" s="149">
        <f t="shared" si="9"/>
        <v>16105</v>
      </c>
      <c r="O42" s="67">
        <f t="shared" si="2"/>
        <v>5769.1766666666372</v>
      </c>
      <c r="P42" s="7">
        <f t="shared" si="5"/>
        <v>207690.35999999894</v>
      </c>
      <c r="Q42" s="164">
        <f>Q41+N42-2</f>
        <v>164486.51</v>
      </c>
      <c r="R42" s="29">
        <f t="shared" si="3"/>
        <v>103.55196415302687</v>
      </c>
      <c r="S42" s="5">
        <f>SUM($Q$7:$Q42)/T42-1</f>
        <v>168162.17666666646</v>
      </c>
      <c r="T42" s="18">
        <v>36</v>
      </c>
      <c r="U42" s="138"/>
      <c r="V42" s="137"/>
      <c r="W42" s="105">
        <v>-3281016</v>
      </c>
      <c r="X42" s="167"/>
      <c r="Y42" s="156">
        <f t="shared" ref="Y42:Y47" si="12">Y41-K42-L42</f>
        <v>-3281017</v>
      </c>
      <c r="Z42" s="217"/>
      <c r="AD42" s="1"/>
      <c r="AE42" s="1"/>
    </row>
    <row r="43" spans="2:31">
      <c r="B43" s="116">
        <v>45316</v>
      </c>
      <c r="C43" s="14" t="str">
        <f t="shared" si="0"/>
        <v/>
      </c>
      <c r="D43" s="87"/>
      <c r="E43" s="87">
        <v>0</v>
      </c>
      <c r="F43" s="23">
        <v>-3511979</v>
      </c>
      <c r="G43" s="26">
        <f>D43+E43+F43-E42-F42</f>
        <v>6394</v>
      </c>
      <c r="H43" s="132">
        <v>300</v>
      </c>
      <c r="I43" s="25">
        <v>-4400</v>
      </c>
      <c r="J43" s="25">
        <v>500</v>
      </c>
      <c r="K43" s="170">
        <f t="shared" si="7"/>
        <v>-3600</v>
      </c>
      <c r="L43" s="171">
        <v>-46</v>
      </c>
      <c r="M43" s="153"/>
      <c r="N43" s="149">
        <f t="shared" si="9"/>
        <v>2748</v>
      </c>
      <c r="O43" s="67">
        <f t="shared" si="2"/>
        <v>5744.1586486486203</v>
      </c>
      <c r="P43" s="7">
        <f t="shared" si="5"/>
        <v>212533.86999999895</v>
      </c>
      <c r="Q43" s="164">
        <f>Q42+N43+3</f>
        <v>167237.51</v>
      </c>
      <c r="R43" s="29">
        <f t="shared" si="3"/>
        <v>103.4792902746705</v>
      </c>
      <c r="S43" s="5">
        <f>SUM($Q$7:$Q43)/T43-94</f>
        <v>168044.15864864844</v>
      </c>
      <c r="T43" s="18">
        <v>37</v>
      </c>
      <c r="U43" s="138"/>
      <c r="V43" s="137"/>
      <c r="W43" s="105">
        <v>-3277372</v>
      </c>
      <c r="X43" s="167"/>
      <c r="Y43" s="156">
        <f>Y42-K43-L43-1</f>
        <v>-3277372</v>
      </c>
      <c r="Z43" s="217"/>
      <c r="AD43" s="1"/>
      <c r="AE43" s="1"/>
    </row>
    <row r="44" spans="2:31">
      <c r="B44" s="116">
        <v>45317</v>
      </c>
      <c r="C44" s="14" t="str">
        <f t="shared" si="0"/>
        <v/>
      </c>
      <c r="D44" s="87"/>
      <c r="E44" s="87">
        <v>0</v>
      </c>
      <c r="F44" s="23">
        <v>-3504318</v>
      </c>
      <c r="G44" s="26">
        <f>D44+E44+F44-E43-F43</f>
        <v>7661</v>
      </c>
      <c r="H44" s="132">
        <v>300</v>
      </c>
      <c r="I44" s="25">
        <v>-1500</v>
      </c>
      <c r="J44" s="25">
        <v>500</v>
      </c>
      <c r="K44" s="170">
        <f t="shared" si="7"/>
        <v>-700</v>
      </c>
      <c r="L44" s="171">
        <v>23</v>
      </c>
      <c r="M44" s="153"/>
      <c r="N44" s="149">
        <f t="shared" si="9"/>
        <v>6984</v>
      </c>
      <c r="O44" s="67">
        <f t="shared" si="2"/>
        <v>5904.2205263157621</v>
      </c>
      <c r="P44" s="7">
        <f t="shared" si="5"/>
        <v>224360.37999999896</v>
      </c>
      <c r="Q44" s="164">
        <f>Q43+N44-1</f>
        <v>174220.51</v>
      </c>
      <c r="R44" s="29">
        <f t="shared" si="3"/>
        <v>103.63635388395851</v>
      </c>
      <c r="S44" s="5">
        <f>SUM($Q$7:$Q44)/T44+1</f>
        <v>168299.22052631559</v>
      </c>
      <c r="T44" s="18">
        <v>38</v>
      </c>
      <c r="U44" s="138"/>
      <c r="V44" s="137"/>
      <c r="W44" s="105">
        <v>-3276695</v>
      </c>
      <c r="X44" s="167"/>
      <c r="Y44" s="156">
        <f>Y43-K44-L44</f>
        <v>-3276695</v>
      </c>
      <c r="Z44" s="217"/>
      <c r="AD44" s="1"/>
      <c r="AE44" s="1"/>
    </row>
    <row r="45" spans="2:31">
      <c r="B45" s="116">
        <v>45318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6056.0741025640764</v>
      </c>
      <c r="P45" s="7">
        <f t="shared" si="5"/>
        <v>236186.88999999897</v>
      </c>
      <c r="Q45" s="164">
        <f t="shared" ref="Q45:Q46" si="13">Q44+N45</f>
        <v>174220.51</v>
      </c>
      <c r="R45" s="29">
        <f t="shared" si="3"/>
        <v>103.72986323544214</v>
      </c>
      <c r="S45" s="5">
        <f>SUM($Q$7:$Q45)/T45+1</f>
        <v>168451.0741025639</v>
      </c>
      <c r="T45" s="18">
        <v>39</v>
      </c>
      <c r="U45" s="138"/>
      <c r="V45" s="137"/>
      <c r="W45" s="105">
        <v>-3276695</v>
      </c>
      <c r="X45" s="167"/>
      <c r="Y45" s="156">
        <f t="shared" si="12"/>
        <v>-3276695</v>
      </c>
      <c r="Z45" s="217"/>
      <c r="AD45" s="1"/>
      <c r="AE45" s="1"/>
    </row>
    <row r="46" spans="2:31">
      <c r="B46" s="116">
        <v>45319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6200.3349999999746</v>
      </c>
      <c r="P46" s="7">
        <f t="shared" si="5"/>
        <v>248013.39999999898</v>
      </c>
      <c r="Q46" s="164">
        <f t="shared" si="13"/>
        <v>174220.51</v>
      </c>
      <c r="R46" s="29">
        <f t="shared" si="3"/>
        <v>103.81869711935157</v>
      </c>
      <c r="S46" s="5">
        <f>SUM($Q$7:$Q46)/T46+1</f>
        <v>168595.33499999979</v>
      </c>
      <c r="T46" s="18">
        <v>40</v>
      </c>
      <c r="U46" s="138"/>
      <c r="V46" s="137"/>
      <c r="W46" s="105">
        <v>-3276695</v>
      </c>
      <c r="X46" s="167"/>
      <c r="Y46" s="156">
        <f t="shared" si="12"/>
        <v>-3276695</v>
      </c>
      <c r="Z46" s="217"/>
      <c r="AD46" s="1"/>
      <c r="AE46" s="1"/>
    </row>
    <row r="47" spans="2:31">
      <c r="B47" s="116">
        <v>45320</v>
      </c>
      <c r="C47" s="14"/>
      <c r="D47" s="87"/>
      <c r="E47" s="87">
        <v>62</v>
      </c>
      <c r="F47" s="23">
        <v>-3467200</v>
      </c>
      <c r="G47" s="26">
        <f>D47+E47+F47-E44-F44</f>
        <v>37180</v>
      </c>
      <c r="H47" s="132">
        <v>300</v>
      </c>
      <c r="I47" s="25">
        <v>7400</v>
      </c>
      <c r="J47" s="25">
        <v>500</v>
      </c>
      <c r="K47" s="170">
        <f t="shared" si="7"/>
        <v>8200</v>
      </c>
      <c r="L47" s="171">
        <v>-6</v>
      </c>
      <c r="M47" s="153"/>
      <c r="N47" s="149">
        <f t="shared" si="9"/>
        <v>45374</v>
      </c>
      <c r="O47" s="67">
        <f t="shared" si="2"/>
        <v>7444.2660975609506</v>
      </c>
      <c r="P47" s="7">
        <f t="shared" si="5"/>
        <v>305214.90999999898</v>
      </c>
      <c r="Q47" s="164">
        <f>Q46+N47+1</f>
        <v>219595.51</v>
      </c>
      <c r="R47" s="29">
        <f t="shared" si="3"/>
        <v>113.49081006537236</v>
      </c>
      <c r="S47" s="5">
        <f>SUM($Q$7:$Q47)/T47+1+14465-2</f>
        <v>184302.26609756079</v>
      </c>
      <c r="T47" s="18">
        <v>41</v>
      </c>
      <c r="U47" s="138"/>
      <c r="V47" s="131"/>
      <c r="W47" s="105">
        <v>-3284888</v>
      </c>
      <c r="X47" s="167"/>
      <c r="Y47" s="156">
        <f t="shared" si="12"/>
        <v>-3284889</v>
      </c>
      <c r="Z47" s="217"/>
      <c r="AD47" s="1"/>
      <c r="AE47" s="1"/>
    </row>
    <row r="48" spans="2:31">
      <c r="B48" s="116">
        <v>45321</v>
      </c>
      <c r="C48" s="14" t="str">
        <f t="shared" si="0"/>
        <v/>
      </c>
      <c r="D48" s="87"/>
      <c r="E48" s="87">
        <v>107</v>
      </c>
      <c r="F48" s="23">
        <v>-3472446</v>
      </c>
      <c r="G48" s="26">
        <f>D48+E48+F48-E47-F47</f>
        <v>-5201</v>
      </c>
      <c r="H48" s="132">
        <v>300</v>
      </c>
      <c r="I48" s="25">
        <v>-19500</v>
      </c>
      <c r="J48" s="25">
        <v>500</v>
      </c>
      <c r="K48" s="170">
        <f t="shared" si="7"/>
        <v>-18700</v>
      </c>
      <c r="L48" s="171">
        <v>44</v>
      </c>
      <c r="M48" s="153"/>
      <c r="N48" s="149">
        <f t="shared" si="9"/>
        <v>-23857</v>
      </c>
      <c r="O48" s="67">
        <f t="shared" si="2"/>
        <v>8060.8909523809289</v>
      </c>
      <c r="P48" s="7">
        <f t="shared" si="5"/>
        <v>338557.41999999899</v>
      </c>
      <c r="Q48" s="164">
        <f>Q47+N48-2</f>
        <v>195736.51</v>
      </c>
      <c r="R48" s="29">
        <f t="shared" si="3"/>
        <v>105.09494867567814</v>
      </c>
      <c r="S48" s="5">
        <f>SUM($Q$7:$Q48)/T48+213</f>
        <v>170667.89095238075</v>
      </c>
      <c r="T48" s="18">
        <v>42</v>
      </c>
      <c r="U48" s="138"/>
      <c r="V48" s="137"/>
      <c r="W48" s="105">
        <v>-3266231</v>
      </c>
      <c r="X48" s="167"/>
      <c r="Y48" s="156">
        <f>Y47-K48-L48+1</f>
        <v>-3266232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'DEC 2023'!Q55</f>
        <v>219308.45000000019</v>
      </c>
    </row>
    <row r="53" spans="4:7">
      <c r="D53" s="138" t="s">
        <v>4</v>
      </c>
      <c r="E53" s="139"/>
      <c r="F53" s="143"/>
      <c r="G53" s="91">
        <f>'DEC 2023'!E55</f>
        <v>253</v>
      </c>
    </row>
    <row r="54" spans="4:7">
      <c r="D54" s="138" t="s">
        <v>60</v>
      </c>
      <c r="E54" s="144"/>
      <c r="F54" s="143"/>
      <c r="G54" s="91">
        <f>'DEC 2023'!F55</f>
        <v>-3518287</v>
      </c>
    </row>
    <row r="55" spans="4:7" ht="12.75" thickBot="1">
      <c r="D55" s="140" t="s">
        <v>46</v>
      </c>
      <c r="E55" s="145"/>
      <c r="F55" s="146"/>
      <c r="G55" s="158">
        <f>'DEC 2023'!W55</f>
        <v>-3234908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E1D2-7F59-4CF6-8786-2594621D0C21}">
  <sheetPr>
    <pageSetUpPr fitToPage="1"/>
  </sheetPr>
  <dimension ref="B1:IU65506"/>
  <sheetViews>
    <sheetView tabSelected="1" zoomScale="120" zoomScaleNormal="12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N31" sqref="N3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161351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45322</v>
      </c>
      <c r="C7" s="196" t="str">
        <f t="shared" ref="C7:C48" si="0">IF(OR(WEEKDAY(B7)=1,WEEKDAY(B7)=7),"F","")</f>
        <v/>
      </c>
      <c r="D7" s="197">
        <f>-6189+6377+1258</f>
        <v>1446</v>
      </c>
      <c r="E7" s="197">
        <v>101</v>
      </c>
      <c r="F7" s="198">
        <v>-3373742</v>
      </c>
      <c r="G7" s="199">
        <f>D7+E7+F7-G53-G54</f>
        <v>100144</v>
      </c>
      <c r="H7" s="132">
        <v>300</v>
      </c>
      <c r="I7" s="63">
        <v>-21000</v>
      </c>
      <c r="J7" s="63">
        <v>500</v>
      </c>
      <c r="K7" s="170">
        <f t="shared" ref="K7:K9" si="1">+H7+I7+J7</f>
        <v>-20200</v>
      </c>
      <c r="L7" s="169">
        <v>-40</v>
      </c>
      <c r="M7" s="203"/>
      <c r="N7" s="204">
        <f>L7+K7+G7+M7</f>
        <v>79904</v>
      </c>
      <c r="O7" s="205">
        <f t="shared" ref="O7:O48" si="2">P7/T7</f>
        <v>114289.51000000001</v>
      </c>
      <c r="P7" s="206">
        <f>(+$Q7-$Q$3)</f>
        <v>114289.51000000001</v>
      </c>
      <c r="Q7" s="207">
        <f>G52+N7</f>
        <v>275640.51</v>
      </c>
      <c r="R7" s="208">
        <f t="shared" ref="R7:R48" si="3">$S7/$Q$3*100</f>
        <v>170.83284888225049</v>
      </c>
      <c r="S7" s="209">
        <f>$Q7</f>
        <v>275640.51</v>
      </c>
      <c r="T7" s="210">
        <v>1</v>
      </c>
      <c r="U7" s="211">
        <f>B7</f>
        <v>45322</v>
      </c>
      <c r="V7" s="212">
        <v>1400.4</v>
      </c>
      <c r="W7" s="213">
        <v>-3245991</v>
      </c>
      <c r="X7" s="214">
        <f>AVERAGE(W7:W11)</f>
        <v>-3268101.4</v>
      </c>
      <c r="Y7" s="215">
        <f>G55-K7-L7</f>
        <v>-3245991</v>
      </c>
      <c r="Z7" s="216">
        <f>AVERAGE(Y7:Y13)</f>
        <v>-3267137.4285714286</v>
      </c>
      <c r="AA7" s="92"/>
    </row>
    <row r="8" spans="2:255">
      <c r="B8" s="116">
        <v>45323</v>
      </c>
      <c r="C8" s="14"/>
      <c r="D8" s="87"/>
      <c r="E8" s="128">
        <v>30</v>
      </c>
      <c r="F8" s="162">
        <v>-3434236</v>
      </c>
      <c r="G8" s="26">
        <f>D8+E8+F8-E7-F7</f>
        <v>-60565</v>
      </c>
      <c r="H8" s="132">
        <v>8300</v>
      </c>
      <c r="I8" s="63">
        <v>18900</v>
      </c>
      <c r="J8" s="63">
        <v>500</v>
      </c>
      <c r="K8" s="170">
        <f t="shared" si="1"/>
        <v>27700</v>
      </c>
      <c r="L8" s="171">
        <v>40</v>
      </c>
      <c r="M8" s="153"/>
      <c r="N8" s="149">
        <f>L8+K8+G8+M8</f>
        <v>-32825</v>
      </c>
      <c r="O8" s="67">
        <f t="shared" si="2"/>
        <v>97877.010000000009</v>
      </c>
      <c r="P8" s="163">
        <f>(IF($Q8&lt;0,-$Q$3+P7,($Q8-$Q$3)+P7))</f>
        <v>195754.02000000002</v>
      </c>
      <c r="Q8" s="164">
        <f>Q7+N8</f>
        <v>242815.51</v>
      </c>
      <c r="R8" s="29">
        <f t="shared" si="3"/>
        <v>160.66092555980441</v>
      </c>
      <c r="S8" s="165">
        <f>SUM($Q$7:$Q8)/T8</f>
        <v>259228.01</v>
      </c>
      <c r="T8" s="166">
        <v>2</v>
      </c>
      <c r="U8" s="138">
        <f>B7+6</f>
        <v>45328</v>
      </c>
      <c r="V8" s="131"/>
      <c r="W8" s="105">
        <v>-3273731</v>
      </c>
      <c r="X8" s="167"/>
      <c r="Y8" s="156">
        <f>Y7-K8-L8</f>
        <v>-3273731</v>
      </c>
      <c r="Z8" s="217"/>
      <c r="AA8" s="92"/>
    </row>
    <row r="9" spans="2:255">
      <c r="B9" s="116">
        <v>45324</v>
      </c>
      <c r="C9" s="14" t="str">
        <f t="shared" si="0"/>
        <v/>
      </c>
      <c r="D9" s="87"/>
      <c r="E9" s="87">
        <v>0</v>
      </c>
      <c r="F9" s="23">
        <v>-3509062</v>
      </c>
      <c r="G9" s="26">
        <f>D9+E9+F9-E8-F8</f>
        <v>-74856</v>
      </c>
      <c r="H9" s="132">
        <v>300</v>
      </c>
      <c r="I9" s="63">
        <v>-900</v>
      </c>
      <c r="J9" s="63">
        <v>500</v>
      </c>
      <c r="K9" s="170">
        <f t="shared" si="1"/>
        <v>-100</v>
      </c>
      <c r="L9" s="171">
        <v>-37</v>
      </c>
      <c r="M9" s="153"/>
      <c r="N9" s="149">
        <f>L9+K9+G9+M9</f>
        <v>-74993</v>
      </c>
      <c r="O9" s="67">
        <f t="shared" si="2"/>
        <v>67408.843333333338</v>
      </c>
      <c r="P9" s="163">
        <f t="shared" ref="P9" si="4">(IF($Q9&lt;0,-$Q$3+P8,($Q9-$Q$3)+P8))</f>
        <v>202226.53000000003</v>
      </c>
      <c r="Q9" s="164">
        <f>Q8+N9+1</f>
        <v>167823.51</v>
      </c>
      <c r="R9" s="29">
        <f t="shared" si="3"/>
        <v>141.77838583791444</v>
      </c>
      <c r="S9" s="5">
        <f>SUM($Q$7:$Q9)/T9+1</f>
        <v>228760.84333333335</v>
      </c>
      <c r="T9" s="17">
        <v>3</v>
      </c>
      <c r="U9" s="4"/>
      <c r="V9" s="131"/>
      <c r="W9" s="105">
        <v>-3273595</v>
      </c>
      <c r="X9" s="167"/>
      <c r="Y9" s="156">
        <f>Y8-K9-L9-2</f>
        <v>-3273596</v>
      </c>
      <c r="Z9" s="217"/>
      <c r="AA9" s="92"/>
    </row>
    <row r="10" spans="2:255">
      <c r="B10" s="116">
        <v>45325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52174.760000000009</v>
      </c>
      <c r="P10" s="163">
        <f>(IF($Q10&lt;0,-$Q$3+P9,($Q10-$Q$3)+P9))</f>
        <v>208699.04000000004</v>
      </c>
      <c r="Q10" s="164">
        <f>Q9+N10</f>
        <v>167823.51</v>
      </c>
      <c r="R10" s="29">
        <f t="shared" si="3"/>
        <v>132.33556655986018</v>
      </c>
      <c r="S10" s="5">
        <f>SUM($Q$7:$Q10)/T10-1</f>
        <v>213524.76</v>
      </c>
      <c r="T10" s="17">
        <v>4</v>
      </c>
      <c r="U10" s="4"/>
      <c r="V10" s="131"/>
      <c r="W10" s="105">
        <v>-3273595</v>
      </c>
      <c r="X10" s="167"/>
      <c r="Y10" s="156">
        <f>Y9-K10-L10</f>
        <v>-3273596</v>
      </c>
      <c r="Z10" s="217"/>
      <c r="AA10" s="92"/>
    </row>
    <row r="11" spans="2:255">
      <c r="B11" s="116">
        <v>45326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43034.310000000012</v>
      </c>
      <c r="P11" s="163">
        <f t="shared" ref="P11:P48" si="5">(IF($Q11&lt;0,-$Q$3+P10,($Q11-$Q$3)+P10))</f>
        <v>215171.55000000005</v>
      </c>
      <c r="Q11" s="164">
        <f>Q10+N11</f>
        <v>167823.51</v>
      </c>
      <c r="R11" s="29">
        <f t="shared" si="3"/>
        <v>126.67123848008379</v>
      </c>
      <c r="S11" s="5">
        <f>SUM($Q$7:$Q11)/T11</f>
        <v>204385.31</v>
      </c>
      <c r="T11" s="17">
        <v>5</v>
      </c>
      <c r="U11" s="27"/>
      <c r="V11" s="134"/>
      <c r="W11" s="105">
        <v>-3273595</v>
      </c>
      <c r="X11" s="167"/>
      <c r="Y11" s="156">
        <f t="shared" ref="Y11:Y39" si="6">Y10-K11-L11</f>
        <v>-3273596</v>
      </c>
      <c r="Z11" s="217"/>
      <c r="AA11" s="92"/>
    </row>
    <row r="12" spans="2:255">
      <c r="B12" s="116">
        <v>45327</v>
      </c>
      <c r="C12" s="14"/>
      <c r="D12" s="87"/>
      <c r="E12" s="87">
        <v>3</v>
      </c>
      <c r="F12" s="23">
        <v>-3513193</v>
      </c>
      <c r="G12" s="26">
        <f>D12+E12+F12-E9-F9</f>
        <v>-4128</v>
      </c>
      <c r="H12" s="132">
        <v>300</v>
      </c>
      <c r="I12" s="63">
        <v>-5000</v>
      </c>
      <c r="J12" s="63">
        <v>500</v>
      </c>
      <c r="K12" s="170">
        <f t="shared" ref="K12:K13" si="7">+H12+I12+J12</f>
        <v>-4200</v>
      </c>
      <c r="L12" s="171">
        <v>-34</v>
      </c>
      <c r="M12" s="153"/>
      <c r="N12" s="149">
        <f t="shared" ref="N12:N15" si="8">L12+K12+G12+M12</f>
        <v>-8362</v>
      </c>
      <c r="O12" s="67">
        <f t="shared" si="2"/>
        <v>35547.010000000009</v>
      </c>
      <c r="P12" s="163">
        <f t="shared" si="5"/>
        <v>213282.06000000006</v>
      </c>
      <c r="Q12" s="164">
        <f>Q11+N12</f>
        <v>159461.51</v>
      </c>
      <c r="R12" s="29">
        <f t="shared" si="3"/>
        <v>122.0308581911485</v>
      </c>
      <c r="S12" s="5">
        <f>SUM($Q$7:$Q12)/T12</f>
        <v>196898.01</v>
      </c>
      <c r="T12" s="17">
        <v>6</v>
      </c>
      <c r="U12" s="138">
        <f>B12</f>
        <v>45327</v>
      </c>
      <c r="V12" s="310">
        <v>1326.5</v>
      </c>
      <c r="W12" s="105">
        <v>-3269361</v>
      </c>
      <c r="X12" s="167">
        <f>AVERAGE(W12:W20)</f>
        <v>-3259485.25</v>
      </c>
      <c r="Y12" s="156">
        <f>Y11-K12-L12</f>
        <v>-3269362</v>
      </c>
      <c r="Z12" s="217">
        <f>AVERAGE(Y12:Y20)</f>
        <v>-3258863.4444444445</v>
      </c>
      <c r="AA12" s="92"/>
    </row>
    <row r="13" spans="2:255">
      <c r="B13" s="116">
        <v>45328</v>
      </c>
      <c r="C13" s="14"/>
      <c r="D13" s="87"/>
      <c r="E13" s="87">
        <v>0</v>
      </c>
      <c r="F13" s="23">
        <v>-3508138</v>
      </c>
      <c r="G13" s="26">
        <f>D13+E13+F13-E12-F12</f>
        <v>5052</v>
      </c>
      <c r="H13" s="132">
        <v>300</v>
      </c>
      <c r="I13" s="63">
        <v>-10100</v>
      </c>
      <c r="J13" s="63">
        <v>500</v>
      </c>
      <c r="K13" s="170">
        <f t="shared" si="7"/>
        <v>-9300</v>
      </c>
      <c r="L13" s="171">
        <v>29</v>
      </c>
      <c r="M13" s="153"/>
      <c r="N13" s="149">
        <f t="shared" si="8"/>
        <v>-4219</v>
      </c>
      <c r="O13" s="67">
        <f t="shared" si="2"/>
        <v>29596.224285714296</v>
      </c>
      <c r="P13" s="163">
        <f t="shared" si="5"/>
        <v>207173.57000000007</v>
      </c>
      <c r="Q13" s="164">
        <f>Q12+N13</f>
        <v>155242.51</v>
      </c>
      <c r="R13" s="29">
        <f t="shared" si="3"/>
        <v>118.34275851139088</v>
      </c>
      <c r="S13" s="5">
        <f>SUM($Q$7:$Q13)/T13</f>
        <v>190947.2242857143</v>
      </c>
      <c r="T13" s="17">
        <v>7</v>
      </c>
      <c r="U13" s="138">
        <f>B12+8</f>
        <v>45335</v>
      </c>
      <c r="V13" s="249"/>
      <c r="W13" s="105">
        <v>-3260090</v>
      </c>
      <c r="X13" s="167"/>
      <c r="Y13" s="156">
        <f>Y12-K13-L13+1</f>
        <v>-3260090</v>
      </c>
      <c r="Z13" s="217"/>
      <c r="AA13" s="92"/>
      <c r="AB13" s="92"/>
    </row>
    <row r="14" spans="2:255">
      <c r="B14" s="116">
        <v>45329</v>
      </c>
      <c r="C14" s="14"/>
      <c r="D14" s="87">
        <f>-6377+4740</f>
        <v>-1637</v>
      </c>
      <c r="E14" s="87">
        <v>0</v>
      </c>
      <c r="F14" s="23">
        <v>-3504016</v>
      </c>
      <c r="G14" s="26">
        <f>D14+E14+F14-E13-F13</f>
        <v>2485</v>
      </c>
      <c r="H14" s="132">
        <v>300</v>
      </c>
      <c r="I14" s="63">
        <v>-6200</v>
      </c>
      <c r="J14" s="63">
        <v>500</v>
      </c>
      <c r="K14" s="170">
        <f t="shared" ref="K14:K48" si="9">+H14+I14+J14</f>
        <v>-5400</v>
      </c>
      <c r="L14" s="171">
        <v>-4</v>
      </c>
      <c r="M14" s="154"/>
      <c r="N14" s="149">
        <f t="shared" si="8"/>
        <v>-2919</v>
      </c>
      <c r="O14" s="67">
        <f>P14/T14+1</f>
        <v>24769.135000000009</v>
      </c>
      <c r="P14" s="163">
        <f t="shared" si="5"/>
        <v>198145.08000000007</v>
      </c>
      <c r="Q14" s="164">
        <f>Q13+N14-1</f>
        <v>152322.51</v>
      </c>
      <c r="R14" s="29">
        <f t="shared" si="3"/>
        <v>115.35976535627297</v>
      </c>
      <c r="S14" s="5">
        <f>SUM($Q$7:$Q14)/T14+15</f>
        <v>186134.13500000001</v>
      </c>
      <c r="T14" s="17">
        <v>8</v>
      </c>
      <c r="U14" s="4"/>
      <c r="V14" s="4"/>
      <c r="W14" s="105">
        <v>-3254686</v>
      </c>
      <c r="X14" s="167"/>
      <c r="Y14" s="156">
        <f>Y13-K14-L14</f>
        <v>-3254686</v>
      </c>
      <c r="Z14" s="217"/>
      <c r="AA14" s="92"/>
    </row>
    <row r="15" spans="2:255">
      <c r="B15" s="116">
        <v>45330</v>
      </c>
      <c r="C15" s="14" t="str">
        <f t="shared" si="0"/>
        <v/>
      </c>
      <c r="D15" s="87"/>
      <c r="E15" s="87">
        <v>0</v>
      </c>
      <c r="F15" s="23">
        <v>-3501667</v>
      </c>
      <c r="G15" s="26">
        <f>D15+E15+F15-E14-F14</f>
        <v>2349</v>
      </c>
      <c r="H15" s="132">
        <v>300</v>
      </c>
      <c r="I15" s="63">
        <v>-1700</v>
      </c>
      <c r="J15" s="63">
        <v>500</v>
      </c>
      <c r="K15" s="170">
        <f t="shared" si="9"/>
        <v>-900</v>
      </c>
      <c r="L15" s="172">
        <v>17</v>
      </c>
      <c r="M15" s="153"/>
      <c r="N15" s="149">
        <f t="shared" si="8"/>
        <v>1466</v>
      </c>
      <c r="O15" s="67">
        <f t="shared" si="2"/>
        <v>21176.065555555564</v>
      </c>
      <c r="P15" s="7">
        <f t="shared" si="5"/>
        <v>190584.59000000008</v>
      </c>
      <c r="Q15" s="164">
        <f>Q14+N15+2</f>
        <v>153790.51</v>
      </c>
      <c r="R15" s="29">
        <f t="shared" si="3"/>
        <v>113.12422331163461</v>
      </c>
      <c r="S15" s="5">
        <f>SUM($Q$7:$Q15)/T15</f>
        <v>182527.06555555557</v>
      </c>
      <c r="T15" s="17">
        <v>9</v>
      </c>
      <c r="U15" s="4"/>
      <c r="V15" s="4"/>
      <c r="W15" s="105">
        <v>-3253804</v>
      </c>
      <c r="X15" s="167"/>
      <c r="Y15" s="156">
        <f>Y14-K15-L15-1</f>
        <v>-3253804</v>
      </c>
      <c r="Z15" s="217"/>
      <c r="AA15" s="92"/>
      <c r="AB15" s="92"/>
    </row>
    <row r="16" spans="2:255" s="69" customFormat="1">
      <c r="B16" s="116">
        <v>45331</v>
      </c>
      <c r="C16" s="14"/>
      <c r="D16" s="129"/>
      <c r="E16" s="87"/>
      <c r="F16" s="23"/>
      <c r="G16" s="26">
        <f>D16+E16+F16-E15-F15</f>
        <v>3501667</v>
      </c>
      <c r="H16" s="132">
        <v>300</v>
      </c>
      <c r="I16" s="63">
        <v>3000</v>
      </c>
      <c r="J16" s="63">
        <v>500</v>
      </c>
      <c r="K16" s="170">
        <f t="shared" si="9"/>
        <v>3800</v>
      </c>
      <c r="L16" s="172"/>
      <c r="M16" s="153"/>
      <c r="N16" s="152">
        <f>L16+K16+G16+M16</f>
        <v>3505467</v>
      </c>
      <c r="O16" s="67">
        <f t="shared" si="2"/>
        <v>368849.20999999996</v>
      </c>
      <c r="P16" s="70">
        <f t="shared" si="5"/>
        <v>3688492.0999999996</v>
      </c>
      <c r="Q16" s="164">
        <f t="shared" ref="Q15:Q19" si="10">Q15+N16+1</f>
        <v>3659258.51</v>
      </c>
      <c r="R16" s="71">
        <f t="shared" si="3"/>
        <v>328.60051068787919</v>
      </c>
      <c r="S16" s="72">
        <f>SUM($Q$7:$Q16)/T16</f>
        <v>530200.21</v>
      </c>
      <c r="T16" s="73">
        <v>10</v>
      </c>
      <c r="U16" s="218"/>
      <c r="V16" s="133"/>
      <c r="W16" s="105"/>
      <c r="X16" s="167"/>
      <c r="Y16" s="156">
        <f>Y15-K16-L16-2</f>
        <v>-3257606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45332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653309.14636363636</v>
      </c>
      <c r="P17" s="7">
        <f t="shared" si="5"/>
        <v>7186400.6099999994</v>
      </c>
      <c r="Q17" s="164">
        <f t="shared" si="10"/>
        <v>3659259.51</v>
      </c>
      <c r="R17" s="29">
        <f t="shared" si="3"/>
        <v>504.89934761088335</v>
      </c>
      <c r="S17" s="5">
        <f>SUM($Q$7:$Q17)/T17</f>
        <v>814660.14636363636</v>
      </c>
      <c r="T17" s="18">
        <v>11</v>
      </c>
      <c r="U17" s="27"/>
      <c r="V17" s="136"/>
      <c r="W17" s="105"/>
      <c r="X17" s="167"/>
      <c r="Y17" s="156">
        <f t="shared" si="6"/>
        <v>-3257606</v>
      </c>
      <c r="Z17" s="217"/>
      <c r="AA17" s="92"/>
      <c r="AC17" s="92"/>
    </row>
    <row r="18" spans="2:31">
      <c r="B18" s="116">
        <v>45333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890359.17666666664</v>
      </c>
      <c r="P18" s="7">
        <f t="shared" si="5"/>
        <v>10684310.119999999</v>
      </c>
      <c r="Q18" s="164">
        <f t="shared" si="10"/>
        <v>3659260.51</v>
      </c>
      <c r="R18" s="29">
        <f t="shared" si="3"/>
        <v>651.815096693957</v>
      </c>
      <c r="S18" s="5">
        <f>SUM($Q$7:$Q18)/T18</f>
        <v>1051710.1766666665</v>
      </c>
      <c r="T18" s="18">
        <v>12</v>
      </c>
      <c r="U18" s="27"/>
      <c r="V18" s="136"/>
      <c r="W18" s="105"/>
      <c r="X18" s="167"/>
      <c r="Y18" s="156">
        <f t="shared" si="6"/>
        <v>-3257606</v>
      </c>
      <c r="Z18" s="217"/>
      <c r="AA18" s="92"/>
    </row>
    <row r="19" spans="2:31">
      <c r="B19" s="116">
        <v>45334</v>
      </c>
      <c r="C19" s="14"/>
      <c r="D19" s="87"/>
      <c r="E19" s="87"/>
      <c r="F19" s="23"/>
      <c r="G19" s="26">
        <f>D19+E19+F19-E16-F16</f>
        <v>0</v>
      </c>
      <c r="H19" s="132">
        <v>300</v>
      </c>
      <c r="I19" s="63">
        <v>3000</v>
      </c>
      <c r="J19" s="63">
        <v>500</v>
      </c>
      <c r="K19" s="170"/>
      <c r="L19" s="171"/>
      <c r="M19" s="153"/>
      <c r="N19" s="149">
        <f t="shared" ref="N19:N48" si="11">L19+K19+G19+M19</f>
        <v>0</v>
      </c>
      <c r="O19" s="67">
        <f t="shared" si="2"/>
        <v>1090940.0484615383</v>
      </c>
      <c r="P19" s="7">
        <f t="shared" si="5"/>
        <v>14182220.629999999</v>
      </c>
      <c r="Q19" s="164">
        <f t="shared" si="10"/>
        <v>3659261.51</v>
      </c>
      <c r="R19" s="29">
        <f t="shared" si="3"/>
        <v>776.12785074870203</v>
      </c>
      <c r="S19" s="5">
        <f>SUM($Q$7:$Q19)/T19-1</f>
        <v>1252290.0484615383</v>
      </c>
      <c r="T19" s="18">
        <v>13</v>
      </c>
      <c r="U19" s="138">
        <f>B19</f>
        <v>45334</v>
      </c>
      <c r="V19" s="131"/>
      <c r="W19" s="105"/>
      <c r="X19" s="167" t="str">
        <f>IFERROR(AVERAGE(W19:W27),"")</f>
        <v/>
      </c>
      <c r="Y19" s="156">
        <f>Y18-K19-L19</f>
        <v>-3257606</v>
      </c>
      <c r="Z19" s="217">
        <f>AVERAGE(Y19:Y27)</f>
        <v>-3260983.111111111</v>
      </c>
      <c r="AA19" s="92"/>
      <c r="AD19" s="309"/>
    </row>
    <row r="20" spans="2:31">
      <c r="B20" s="116">
        <v>45335</v>
      </c>
      <c r="C20" s="14"/>
      <c r="D20" s="87"/>
      <c r="E20" s="87"/>
      <c r="F20" s="23"/>
      <c r="G20" s="26">
        <f>D20+E20+F20-E16-F16</f>
        <v>0</v>
      </c>
      <c r="H20" s="132">
        <v>300</v>
      </c>
      <c r="I20" s="63">
        <v>3000</v>
      </c>
      <c r="J20" s="63">
        <v>500</v>
      </c>
      <c r="K20" s="170">
        <f t="shared" si="9"/>
        <v>3800</v>
      </c>
      <c r="L20" s="171"/>
      <c r="M20" s="153"/>
      <c r="N20" s="149">
        <f t="shared" si="11"/>
        <v>3800</v>
      </c>
      <c r="O20" s="67">
        <f t="shared" si="2"/>
        <v>1263137.9385714286</v>
      </c>
      <c r="P20" s="7">
        <f t="shared" si="5"/>
        <v>17683931.140000001</v>
      </c>
      <c r="Q20" s="164">
        <f>Q19+N20</f>
        <v>3663061.51</v>
      </c>
      <c r="R20" s="29">
        <f t="shared" si="3"/>
        <v>882.85039359621487</v>
      </c>
      <c r="S20" s="5">
        <f>SUM($Q$7:$Q20)/T20-1</f>
        <v>1424487.9385714286</v>
      </c>
      <c r="T20" s="18">
        <v>14</v>
      </c>
      <c r="U20" s="138">
        <f>B19+8</f>
        <v>45342</v>
      </c>
      <c r="V20" s="131"/>
      <c r="W20" s="105"/>
      <c r="X20" s="167"/>
      <c r="Y20" s="156">
        <f>Y19-K20-L20+1</f>
        <v>-3261405</v>
      </c>
      <c r="Z20" s="217"/>
      <c r="AA20" s="92"/>
      <c r="AB20" s="92"/>
    </row>
    <row r="21" spans="2:31">
      <c r="B21" s="116">
        <v>45336</v>
      </c>
      <c r="C21" s="14" t="str">
        <f t="shared" si="0"/>
        <v/>
      </c>
      <c r="D21" s="87">
        <v>-4740</v>
      </c>
      <c r="E21" s="87"/>
      <c r="F21" s="23"/>
      <c r="G21" s="26">
        <f>D21+E21+F21-E20-F20</f>
        <v>-4740</v>
      </c>
      <c r="H21" s="132"/>
      <c r="I21" s="63"/>
      <c r="J21" s="63"/>
      <c r="K21" s="170">
        <f>+H21+I21+J21</f>
        <v>0</v>
      </c>
      <c r="L21" s="171"/>
      <c r="M21" s="153"/>
      <c r="N21" s="149">
        <f>L21+K21+G21+M21</f>
        <v>-4740</v>
      </c>
      <c r="O21" s="67">
        <f t="shared" si="2"/>
        <v>1412060.1766666665</v>
      </c>
      <c r="P21" s="7">
        <f t="shared" si="5"/>
        <v>21180902.649999999</v>
      </c>
      <c r="Q21" s="164">
        <f>Q20+N21+1</f>
        <v>3658322.51</v>
      </c>
      <c r="R21" s="29">
        <f t="shared" si="3"/>
        <v>975.14745905923519</v>
      </c>
      <c r="S21" s="5">
        <f>SUM($Q$7:$Q21)/T21-1</f>
        <v>1573410.1766666665</v>
      </c>
      <c r="T21" s="18">
        <v>15</v>
      </c>
      <c r="U21" s="4"/>
      <c r="V21" s="131"/>
      <c r="W21" s="105"/>
      <c r="X21" s="167"/>
      <c r="Y21" s="156">
        <f>Y20-K21-L21-1</f>
        <v>-3261406</v>
      </c>
      <c r="Z21" s="217"/>
      <c r="AA21" s="92"/>
    </row>
    <row r="22" spans="2:31">
      <c r="B22" s="116">
        <v>45337</v>
      </c>
      <c r="C22" s="14" t="str">
        <f t="shared" si="0"/>
        <v/>
      </c>
      <c r="D22" s="87"/>
      <c r="E22" s="87"/>
      <c r="F22" s="23"/>
      <c r="G22" s="26">
        <f>D22+E22+F22-E21-F21</f>
        <v>0</v>
      </c>
      <c r="H22" s="132"/>
      <c r="I22" s="63"/>
      <c r="J22" s="63"/>
      <c r="K22" s="170">
        <f t="shared" si="9"/>
        <v>0</v>
      </c>
      <c r="L22" s="171"/>
      <c r="M22" s="153"/>
      <c r="N22" s="149">
        <f>L22+K22+G22+M22</f>
        <v>0</v>
      </c>
      <c r="O22" s="67">
        <f t="shared" si="2"/>
        <v>1542367.0724999998</v>
      </c>
      <c r="P22" s="7">
        <f t="shared" si="5"/>
        <v>24677873.159999996</v>
      </c>
      <c r="Q22" s="164">
        <f>Q21+N22-1</f>
        <v>3658321.51</v>
      </c>
      <c r="R22" s="29">
        <f t="shared" si="3"/>
        <v>1055.9073526039504</v>
      </c>
      <c r="S22" s="5">
        <f>SUM($Q$7:$Q22)/T22-1</f>
        <v>1703717.0724999998</v>
      </c>
      <c r="T22" s="18">
        <v>16</v>
      </c>
      <c r="U22" s="4"/>
      <c r="V22" s="131"/>
      <c r="W22" s="105"/>
      <c r="X22" s="167"/>
      <c r="Y22" s="156">
        <f>Y21-K22-L22+1</f>
        <v>-3261405</v>
      </c>
      <c r="Z22" s="217"/>
      <c r="AA22" s="92"/>
    </row>
    <row r="23" spans="2:31">
      <c r="B23" s="116">
        <v>45338</v>
      </c>
      <c r="C23" s="14"/>
      <c r="D23" s="87"/>
      <c r="E23" s="87"/>
      <c r="F23" s="23"/>
      <c r="G23" s="26">
        <f>D23+E23+F23-E22-F22</f>
        <v>0</v>
      </c>
      <c r="H23" s="132"/>
      <c r="I23" s="63"/>
      <c r="J23" s="63"/>
      <c r="K23" s="170">
        <f>+H23+I23+J23</f>
        <v>0</v>
      </c>
      <c r="L23" s="171"/>
      <c r="M23" s="153"/>
      <c r="N23" s="149">
        <f>L23+K23+G23+M23</f>
        <v>0</v>
      </c>
      <c r="O23" s="67">
        <f t="shared" si="2"/>
        <v>1657343.7452941174</v>
      </c>
      <c r="P23" s="7">
        <f t="shared" si="5"/>
        <v>28174843.669999994</v>
      </c>
      <c r="Q23" s="164">
        <f>Q22+N23</f>
        <v>3658321.51</v>
      </c>
      <c r="R23" s="29">
        <f t="shared" si="3"/>
        <v>1127.1667019690719</v>
      </c>
      <c r="S23" s="5">
        <f>SUM($Q$7:$Q23)/T23</f>
        <v>1818694.7452941174</v>
      </c>
      <c r="T23" s="18">
        <v>17</v>
      </c>
      <c r="U23" s="27"/>
      <c r="V23" s="135"/>
      <c r="W23" s="105"/>
      <c r="X23" s="167"/>
      <c r="Y23" s="156">
        <f>Y22-K23-L23</f>
        <v>-3261405</v>
      </c>
      <c r="Z23" s="217"/>
      <c r="AA23" s="92"/>
    </row>
    <row r="24" spans="2:31">
      <c r="B24" s="116">
        <v>45339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1759545.2322222218</v>
      </c>
      <c r="P24" s="7">
        <f t="shared" si="5"/>
        <v>31671814.179999992</v>
      </c>
      <c r="Q24" s="164">
        <f t="shared" ref="Q24:Q25" si="12">Q23+N24</f>
        <v>3658321.51</v>
      </c>
      <c r="R24" s="29">
        <f t="shared" si="3"/>
        <v>1190.5077949453191</v>
      </c>
      <c r="S24" s="5">
        <f>SUM($Q$7:$Q24)/T24</f>
        <v>1920896.2322222218</v>
      </c>
      <c r="T24" s="18">
        <v>18</v>
      </c>
      <c r="U24" s="4"/>
      <c r="V24" s="135"/>
      <c r="W24" s="105"/>
      <c r="X24" s="167"/>
      <c r="Y24" s="156">
        <f t="shared" si="6"/>
        <v>-3261405</v>
      </c>
      <c r="Z24" s="217"/>
      <c r="AA24" s="92"/>
      <c r="AD24" s="1"/>
      <c r="AE24" s="1"/>
    </row>
    <row r="25" spans="2:31">
      <c r="B25" s="116">
        <v>45340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1850988.6678947364</v>
      </c>
      <c r="P25" s="7">
        <f t="shared" si="5"/>
        <v>35168784.68999999</v>
      </c>
      <c r="Q25" s="164">
        <f t="shared" si="12"/>
        <v>3658321.51</v>
      </c>
      <c r="R25" s="29">
        <f t="shared" si="3"/>
        <v>1247.1814044503824</v>
      </c>
      <c r="S25" s="5">
        <f>SUM($Q$7:$Q25)/T25</f>
        <v>2012339.6678947364</v>
      </c>
      <c r="T25" s="18">
        <v>19</v>
      </c>
      <c r="U25" s="4"/>
      <c r="V25" s="131"/>
      <c r="W25" s="105"/>
      <c r="X25" s="167"/>
      <c r="Y25" s="156">
        <f t="shared" si="6"/>
        <v>-3261405</v>
      </c>
      <c r="Z25" s="217"/>
      <c r="AA25" s="92"/>
      <c r="AD25" s="1"/>
      <c r="AE25" s="1"/>
    </row>
    <row r="26" spans="2:31">
      <c r="B26" s="116">
        <v>45341</v>
      </c>
      <c r="C26" s="14"/>
      <c r="D26" s="87"/>
      <c r="E26" s="87"/>
      <c r="F26" s="23"/>
      <c r="G26" s="26">
        <f>D26+E26+F26-E23-F23</f>
        <v>0</v>
      </c>
      <c r="H26" s="132"/>
      <c r="I26" s="63"/>
      <c r="J26" s="63"/>
      <c r="K26" s="170">
        <f t="shared" si="9"/>
        <v>0</v>
      </c>
      <c r="L26" s="171"/>
      <c r="M26" s="153"/>
      <c r="N26" s="149">
        <f t="shared" si="11"/>
        <v>0</v>
      </c>
      <c r="O26" s="67">
        <f t="shared" si="2"/>
        <v>1933287.7599999993</v>
      </c>
      <c r="P26" s="7">
        <f t="shared" si="5"/>
        <v>38665755.199999988</v>
      </c>
      <c r="Q26" s="164">
        <f>Q25+N26</f>
        <v>3658321.51</v>
      </c>
      <c r="R26" s="29">
        <f t="shared" si="3"/>
        <v>1298.1901320723139</v>
      </c>
      <c r="S26" s="5">
        <f>SUM($Q$7:$Q26)/T26+4</f>
        <v>2094642.7599999993</v>
      </c>
      <c r="T26" s="18">
        <v>20</v>
      </c>
      <c r="U26" s="138">
        <f>B26</f>
        <v>45341</v>
      </c>
      <c r="V26" s="131"/>
      <c r="W26" s="105"/>
      <c r="X26" s="167" t="str">
        <f>IFERROR(AVERAGE(W26:W34),"")</f>
        <v/>
      </c>
      <c r="Y26" s="156">
        <f>Y25-K26-L26</f>
        <v>-3261405</v>
      </c>
      <c r="Z26" s="217">
        <f>AVERAGE(Y26:Y34)</f>
        <v>-3261404.111111111</v>
      </c>
      <c r="AC26" s="92"/>
      <c r="AD26" s="1"/>
      <c r="AE26" s="1"/>
    </row>
    <row r="27" spans="2:31">
      <c r="B27" s="116">
        <v>45342</v>
      </c>
      <c r="C27" s="14" t="str">
        <f t="shared" si="0"/>
        <v/>
      </c>
      <c r="D27" s="87"/>
      <c r="E27" s="87"/>
      <c r="F27" s="23"/>
      <c r="G27" s="26">
        <f>D27+E27+F27-E26-F26</f>
        <v>0</v>
      </c>
      <c r="H27" s="132"/>
      <c r="I27" s="63"/>
      <c r="J27" s="63"/>
      <c r="K27" s="170">
        <f t="shared" si="9"/>
        <v>0</v>
      </c>
      <c r="L27" s="171"/>
      <c r="M27" s="153"/>
      <c r="N27" s="149">
        <f>L27+K27+G27+M27</f>
        <v>0</v>
      </c>
      <c r="O27" s="67">
        <f t="shared" si="2"/>
        <v>2007748.8909523804</v>
      </c>
      <c r="P27" s="7">
        <f t="shared" si="5"/>
        <v>42162726.709999986</v>
      </c>
      <c r="Q27" s="164">
        <f>Q26+N27+1</f>
        <v>3658322.51</v>
      </c>
      <c r="R27" s="29">
        <f t="shared" si="3"/>
        <v>1344.3064443061278</v>
      </c>
      <c r="S27" s="5">
        <f>SUM($Q$7:$Q27)/T27-48</f>
        <v>2169051.8909523804</v>
      </c>
      <c r="T27" s="18">
        <v>21</v>
      </c>
      <c r="U27" s="138">
        <f>B28+6</f>
        <v>45349</v>
      </c>
      <c r="V27" s="159"/>
      <c r="W27" s="105"/>
      <c r="X27" s="167"/>
      <c r="Y27" s="156">
        <f>Y26-K27-L27-1</f>
        <v>-3261406</v>
      </c>
      <c r="Z27" s="217"/>
      <c r="AA27" s="92"/>
      <c r="AD27" s="1"/>
      <c r="AE27" s="1"/>
    </row>
    <row r="28" spans="2:31">
      <c r="B28" s="116">
        <v>45343</v>
      </c>
      <c r="C28" s="14" t="str">
        <f t="shared" si="0"/>
        <v/>
      </c>
      <c r="D28" s="87"/>
      <c r="E28" s="87"/>
      <c r="F28" s="23"/>
      <c r="G28" s="26">
        <f>D28+E28+F28-E27-F27</f>
        <v>0</v>
      </c>
      <c r="H28" s="132"/>
      <c r="I28" s="63"/>
      <c r="J28" s="63"/>
      <c r="K28" s="170">
        <f t="shared" si="9"/>
        <v>0</v>
      </c>
      <c r="L28" s="171"/>
      <c r="M28" s="153"/>
      <c r="N28" s="149">
        <f>L28+K28+G28+M28</f>
        <v>0</v>
      </c>
      <c r="O28" s="67">
        <f t="shared" si="2"/>
        <v>2075440.8281818174</v>
      </c>
      <c r="P28" s="7">
        <f t="shared" si="5"/>
        <v>45659698.219999984</v>
      </c>
      <c r="Q28" s="164">
        <f>Q27+N28</f>
        <v>3658322.51</v>
      </c>
      <c r="R28" s="29">
        <f t="shared" si="3"/>
        <v>1386.2887916293159</v>
      </c>
      <c r="S28" s="5">
        <f>SUM($Q$7:$Q28)/T28-1</f>
        <v>2236790.8281818177</v>
      </c>
      <c r="T28" s="18">
        <v>22</v>
      </c>
      <c r="U28" s="4"/>
      <c r="V28" s="131"/>
      <c r="W28" s="105"/>
      <c r="X28" s="167"/>
      <c r="Y28" s="156">
        <f>Y27-K28-L28+1</f>
        <v>-3261405</v>
      </c>
      <c r="Z28" s="217"/>
      <c r="AA28" s="92"/>
      <c r="AD28" s="1"/>
      <c r="AE28" s="1"/>
    </row>
    <row r="29" spans="2:31">
      <c r="B29" s="116">
        <v>45344</v>
      </c>
      <c r="C29" s="14" t="str">
        <f t="shared" si="0"/>
        <v/>
      </c>
      <c r="D29" s="87"/>
      <c r="E29" s="87"/>
      <c r="F29" s="23"/>
      <c r="G29" s="26">
        <f>D29+E29+F29-E28-F28</f>
        <v>0</v>
      </c>
      <c r="H29" s="132"/>
      <c r="I29" s="63"/>
      <c r="J29" s="63"/>
      <c r="K29" s="170">
        <f t="shared" si="9"/>
        <v>0</v>
      </c>
      <c r="L29" s="171"/>
      <c r="M29" s="153"/>
      <c r="N29" s="149">
        <f>L29+K29+G29+M29</f>
        <v>0</v>
      </c>
      <c r="O29" s="67">
        <f t="shared" si="2"/>
        <v>2137246.4665217386</v>
      </c>
      <c r="P29" s="7">
        <f t="shared" si="5"/>
        <v>49156668.729999982</v>
      </c>
      <c r="Q29" s="164">
        <f>Q28+N29-1</f>
        <v>3658321.51</v>
      </c>
      <c r="R29" s="29">
        <f t="shared" si="3"/>
        <v>1424.5938770269404</v>
      </c>
      <c r="S29" s="5">
        <f>SUM($Q$7:$Q29)/T29-1</f>
        <v>2298596.4665217386</v>
      </c>
      <c r="T29" s="18">
        <v>23</v>
      </c>
      <c r="U29" s="4"/>
      <c r="V29" s="131"/>
      <c r="W29" s="105"/>
      <c r="X29" s="167"/>
      <c r="Y29" s="156">
        <f>Y28-K29-L29+1</f>
        <v>-3261404</v>
      </c>
      <c r="Z29" s="217"/>
      <c r="AA29" s="92"/>
      <c r="AD29" s="1"/>
      <c r="AE29" s="1"/>
    </row>
    <row r="30" spans="2:31">
      <c r="B30" s="116">
        <v>45345</v>
      </c>
      <c r="C30" s="14" t="str">
        <f t="shared" si="0"/>
        <v/>
      </c>
      <c r="D30" s="87"/>
      <c r="E30" s="87"/>
      <c r="F30" s="23"/>
      <c r="G30" s="26">
        <f>D30+E30+F30-E29-F29</f>
        <v>0</v>
      </c>
      <c r="H30" s="132"/>
      <c r="I30" s="25"/>
      <c r="J30" s="25"/>
      <c r="K30" s="170">
        <f t="shared" si="9"/>
        <v>0</v>
      </c>
      <c r="L30" s="171"/>
      <c r="M30" s="153"/>
      <c r="N30" s="149">
        <f>L30+K30+G30+M30</f>
        <v>0</v>
      </c>
      <c r="O30" s="67">
        <f t="shared" si="2"/>
        <v>2193901.6349999993</v>
      </c>
      <c r="P30" s="7">
        <f t="shared" si="5"/>
        <v>52653639.23999998</v>
      </c>
      <c r="Q30" s="164">
        <f>Q29+N30</f>
        <v>3658321.51</v>
      </c>
      <c r="R30" s="29">
        <f t="shared" si="3"/>
        <v>1459.7105905758249</v>
      </c>
      <c r="S30" s="5">
        <f>SUM($Q$7:$Q30)/T30+5</f>
        <v>2355257.6349999993</v>
      </c>
      <c r="T30" s="18">
        <v>24</v>
      </c>
      <c r="U30" s="4"/>
      <c r="V30" s="131"/>
      <c r="W30" s="105"/>
      <c r="X30" s="167"/>
      <c r="Y30" s="156">
        <f>Y29-K30-L30</f>
        <v>-3261404</v>
      </c>
      <c r="Z30" s="217"/>
      <c r="AA30" s="92"/>
      <c r="AD30" s="1"/>
      <c r="AE30" s="1"/>
    </row>
    <row r="31" spans="2:31">
      <c r="B31" s="116">
        <v>45346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2246024.3899999992</v>
      </c>
      <c r="P31" s="7">
        <f t="shared" si="5"/>
        <v>56150609.749999978</v>
      </c>
      <c r="Q31" s="164">
        <f t="shared" ref="Q31:Q39" si="13">Q30+N31</f>
        <v>3658321.51</v>
      </c>
      <c r="R31" s="29">
        <f t="shared" si="3"/>
        <v>1492.0108273267592</v>
      </c>
      <c r="S31" s="5">
        <f>SUM($Q$7:$Q31)/T31-1</f>
        <v>2407374.3899999992</v>
      </c>
      <c r="T31" s="18">
        <v>25</v>
      </c>
      <c r="U31" s="4"/>
      <c r="V31" s="137"/>
      <c r="W31" s="105"/>
      <c r="X31" s="167"/>
      <c r="Y31" s="156">
        <f t="shared" si="6"/>
        <v>-3261404</v>
      </c>
      <c r="Z31" s="217"/>
      <c r="AA31" s="92"/>
      <c r="AB31" s="92"/>
      <c r="AD31" s="1"/>
      <c r="AE31" s="1"/>
    </row>
    <row r="32" spans="2:31">
      <c r="B32" s="116">
        <v>45347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2294137.7023076913</v>
      </c>
      <c r="P32" s="7">
        <f t="shared" si="5"/>
        <v>59647580.259999976</v>
      </c>
      <c r="Q32" s="164">
        <f t="shared" si="13"/>
        <v>3658321.51</v>
      </c>
      <c r="R32" s="29">
        <f t="shared" si="3"/>
        <v>1521.8298630362942</v>
      </c>
      <c r="S32" s="5">
        <f>SUM($Q$7:$Q32)/T32-1</f>
        <v>2455487.7023076913</v>
      </c>
      <c r="T32" s="18">
        <v>26</v>
      </c>
      <c r="U32" s="27"/>
      <c r="V32" s="137"/>
      <c r="W32" s="105"/>
      <c r="X32" s="167"/>
      <c r="Y32" s="156">
        <f t="shared" si="6"/>
        <v>-3261404</v>
      </c>
      <c r="Z32" s="217"/>
      <c r="AD32" s="1"/>
      <c r="AE32" s="1"/>
    </row>
    <row r="33" spans="2:31">
      <c r="B33" s="116">
        <v>45348</v>
      </c>
      <c r="C33" s="14" t="str">
        <f t="shared" si="0"/>
        <v/>
      </c>
      <c r="D33" s="87"/>
      <c r="E33" s="87"/>
      <c r="F33" s="23"/>
      <c r="G33" s="26">
        <f>D33+E33+F33-E30-F30</f>
        <v>0</v>
      </c>
      <c r="H33" s="132"/>
      <c r="I33" s="25"/>
      <c r="J33" s="25"/>
      <c r="K33" s="170">
        <f t="shared" si="9"/>
        <v>0</v>
      </c>
      <c r="L33" s="320"/>
      <c r="M33" s="153"/>
      <c r="N33" s="149">
        <f t="shared" si="11"/>
        <v>0</v>
      </c>
      <c r="O33" s="67">
        <f t="shared" si="2"/>
        <v>2338687.0655555543</v>
      </c>
      <c r="P33" s="7">
        <f t="shared" si="5"/>
        <v>63144550.769999973</v>
      </c>
      <c r="Q33" s="164">
        <f>Q32+N33</f>
        <v>3658321.51</v>
      </c>
      <c r="R33" s="29">
        <f t="shared" si="3"/>
        <v>1549.4177696794904</v>
      </c>
      <c r="S33" s="5">
        <f>SUM($Q$7:$Q33)/T33-37</f>
        <v>2500001.0655555548</v>
      </c>
      <c r="T33" s="18">
        <v>27</v>
      </c>
      <c r="U33" s="138">
        <f>B33</f>
        <v>45348</v>
      </c>
      <c r="V33" s="131"/>
      <c r="W33" s="105"/>
      <c r="X33" s="167" t="str">
        <f>IFERROR(AVERAGE(W33:W41),"")</f>
        <v/>
      </c>
      <c r="Y33" s="156">
        <f>Y32-K33-L33+1</f>
        <v>-3261403</v>
      </c>
      <c r="Z33" s="217">
        <f>AVERAGE(Y33:Y41)</f>
        <v>-3261402.3333333335</v>
      </c>
      <c r="AD33" s="1"/>
      <c r="AE33" s="1"/>
    </row>
    <row r="34" spans="2:31">
      <c r="B34" s="116">
        <v>45349</v>
      </c>
      <c r="C34" s="14" t="str">
        <f t="shared" si="0"/>
        <v/>
      </c>
      <c r="D34" s="87"/>
      <c r="E34" s="87"/>
      <c r="F34" s="23"/>
      <c r="G34" s="26">
        <f>D34+E34+F34-E33-F33</f>
        <v>0</v>
      </c>
      <c r="H34" s="132"/>
      <c r="I34" s="25"/>
      <c r="J34" s="25"/>
      <c r="K34" s="170">
        <f t="shared" si="9"/>
        <v>0</v>
      </c>
      <c r="L34" s="171"/>
      <c r="M34" s="153"/>
      <c r="N34" s="149">
        <f>L34+K34+G34+M34</f>
        <v>0</v>
      </c>
      <c r="O34" s="67">
        <f t="shared" si="2"/>
        <v>2380054.2599999988</v>
      </c>
      <c r="P34" s="7">
        <f t="shared" si="5"/>
        <v>66641519.279999971</v>
      </c>
      <c r="Q34" s="164">
        <f>Q33+N34-2</f>
        <v>3658319.51</v>
      </c>
      <c r="R34" s="29">
        <f t="shared" si="3"/>
        <v>1575.0780968199758</v>
      </c>
      <c r="S34" s="5">
        <f>SUM($Q$7:$Q34)/T34-1</f>
        <v>2541404.2599999993</v>
      </c>
      <c r="T34" s="18">
        <v>28</v>
      </c>
      <c r="U34" s="138">
        <f>B33+8</f>
        <v>45356</v>
      </c>
      <c r="V34" s="131"/>
      <c r="W34" s="105"/>
      <c r="X34" s="167"/>
      <c r="Y34" s="156">
        <f>Y33-K34-L34+1</f>
        <v>-3261402</v>
      </c>
      <c r="Z34" s="217"/>
      <c r="AA34" s="92"/>
      <c r="AD34" s="1"/>
      <c r="AE34" s="1"/>
    </row>
    <row r="35" spans="2:31">
      <c r="B35" s="116">
        <v>45350</v>
      </c>
      <c r="C35" s="14" t="str">
        <f t="shared" si="0"/>
        <v/>
      </c>
      <c r="D35" s="87">
        <v>-2333</v>
      </c>
      <c r="E35" s="87"/>
      <c r="F35" s="23"/>
      <c r="G35" s="26">
        <f>D35+E35+F35-E34-F34</f>
        <v>-2333</v>
      </c>
      <c r="H35" s="132"/>
      <c r="I35" s="25"/>
      <c r="J35" s="25"/>
      <c r="K35" s="170">
        <f t="shared" si="9"/>
        <v>0</v>
      </c>
      <c r="L35" s="171"/>
      <c r="M35" s="153"/>
      <c r="N35" s="149">
        <f t="shared" si="11"/>
        <v>-2333</v>
      </c>
      <c r="O35" s="67">
        <f t="shared" si="2"/>
        <v>2418488.1306896545</v>
      </c>
      <c r="P35" s="7">
        <f t="shared" si="5"/>
        <v>70136155.789999977</v>
      </c>
      <c r="Q35" s="164">
        <f>Q34+N35+1</f>
        <v>3655987.51</v>
      </c>
      <c r="R35" s="29">
        <f t="shared" si="3"/>
        <v>1598.8987553158363</v>
      </c>
      <c r="S35" s="5">
        <f>SUM($Q$7:$Q35)/T35</f>
        <v>2579839.130689655</v>
      </c>
      <c r="T35" s="18">
        <v>29</v>
      </c>
      <c r="U35" s="4"/>
      <c r="V35" s="131"/>
      <c r="W35" s="105"/>
      <c r="X35" s="167"/>
      <c r="Y35" s="156">
        <f>Y34-K35-L35-1</f>
        <v>-3261403</v>
      </c>
      <c r="Z35" s="217"/>
      <c r="AA35" s="92"/>
      <c r="AD35" s="1"/>
      <c r="AE35" s="1"/>
    </row>
    <row r="36" spans="2:31">
      <c r="B36" s="116">
        <v>45351</v>
      </c>
      <c r="C36" s="14" t="str">
        <f t="shared" si="0"/>
        <v/>
      </c>
      <c r="D36" s="87"/>
      <c r="E36" s="87"/>
      <c r="F36" s="23"/>
      <c r="G36" s="26">
        <f>D36+E36+F36-E35-F35</f>
        <v>0</v>
      </c>
      <c r="H36" s="132"/>
      <c r="I36" s="25"/>
      <c r="J36" s="25"/>
      <c r="K36" s="170">
        <f t="shared" si="9"/>
        <v>0</v>
      </c>
      <c r="L36" s="171"/>
      <c r="M36" s="153"/>
      <c r="N36" s="149">
        <f t="shared" si="11"/>
        <v>0</v>
      </c>
      <c r="O36" s="67">
        <f t="shared" si="2"/>
        <v>2454359.7099999995</v>
      </c>
      <c r="P36" s="7">
        <f t="shared" si="5"/>
        <v>73630791.299999982</v>
      </c>
      <c r="Q36" s="164">
        <f>Q35+N36-1</f>
        <v>3655986.51</v>
      </c>
      <c r="R36" s="29">
        <f t="shared" si="3"/>
        <v>1621.1301510371798</v>
      </c>
      <c r="S36" s="5">
        <f>SUM($Q$7:$Q36)/T36-1</f>
        <v>2615709.71</v>
      </c>
      <c r="T36" s="18">
        <v>30</v>
      </c>
      <c r="U36" s="4"/>
      <c r="V36" s="136"/>
      <c r="W36" s="105"/>
      <c r="X36" s="167"/>
      <c r="Y36" s="156">
        <f>Y35-K36-L36</f>
        <v>-3261403</v>
      </c>
      <c r="Z36" s="217"/>
      <c r="AD36" s="1"/>
      <c r="AE36" s="1"/>
    </row>
    <row r="37" spans="2:31">
      <c r="B37" s="116">
        <v>45352</v>
      </c>
      <c r="C37" s="14"/>
      <c r="D37" s="87"/>
      <c r="E37" s="87"/>
      <c r="F37" s="23"/>
      <c r="G37" s="26">
        <f>D37+E37+F37-E36-F36</f>
        <v>0</v>
      </c>
      <c r="H37" s="132"/>
      <c r="I37" s="25"/>
      <c r="J37" s="25"/>
      <c r="K37" s="170">
        <f t="shared" si="9"/>
        <v>0</v>
      </c>
      <c r="L37" s="171"/>
      <c r="M37" s="153"/>
      <c r="N37" s="149">
        <f t="shared" si="11"/>
        <v>0</v>
      </c>
      <c r="O37" s="67">
        <f t="shared" si="2"/>
        <v>2487917.026129032</v>
      </c>
      <c r="P37" s="7">
        <f t="shared" si="5"/>
        <v>77125427.809999987</v>
      </c>
      <c r="Q37" s="164">
        <f>Q36+N37+1</f>
        <v>3655987.51</v>
      </c>
      <c r="R37" s="29">
        <f t="shared" si="3"/>
        <v>1641.9291024716504</v>
      </c>
      <c r="S37" s="5">
        <f>SUM($Q$7:$Q37)/T37+1</f>
        <v>2649269.0261290325</v>
      </c>
      <c r="T37" s="18">
        <v>31</v>
      </c>
      <c r="U37" s="27"/>
      <c r="V37" s="137"/>
      <c r="W37" s="105"/>
      <c r="X37" s="167"/>
      <c r="Y37" s="156">
        <f>Y36-K37-L37</f>
        <v>-3261403</v>
      </c>
      <c r="Z37" s="217"/>
      <c r="AA37" s="92"/>
      <c r="AD37" s="1"/>
      <c r="AE37" s="1"/>
    </row>
    <row r="38" spans="2:31">
      <c r="B38" s="116">
        <v>45353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2519377.0099999998</v>
      </c>
      <c r="P38" s="7">
        <f t="shared" si="5"/>
        <v>80620064.319999993</v>
      </c>
      <c r="Q38" s="164">
        <f t="shared" si="13"/>
        <v>3655987.51</v>
      </c>
      <c r="R38" s="29">
        <f t="shared" si="3"/>
        <v>1661.4263376117908</v>
      </c>
      <c r="S38" s="5">
        <f>SUM($Q$7:$Q38)/T38</f>
        <v>2680728.0100000002</v>
      </c>
      <c r="T38" s="18">
        <v>32</v>
      </c>
      <c r="U38" s="27"/>
      <c r="V38" s="137"/>
      <c r="W38" s="105"/>
      <c r="X38" s="167"/>
      <c r="Y38" s="156">
        <f t="shared" si="6"/>
        <v>-3261403</v>
      </c>
      <c r="Z38" s="217"/>
      <c r="AD38" s="1"/>
      <c r="AE38" s="1"/>
    </row>
    <row r="39" spans="2:31">
      <c r="B39" s="116">
        <v>45354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2548930.3281818181</v>
      </c>
      <c r="P39" s="7">
        <f t="shared" si="5"/>
        <v>84114700.829999998</v>
      </c>
      <c r="Q39" s="164">
        <f t="shared" si="13"/>
        <v>3655987.51</v>
      </c>
      <c r="R39" s="29">
        <f t="shared" si="3"/>
        <v>1679.742504342594</v>
      </c>
      <c r="S39" s="5">
        <f>SUM($Q$7:$Q39)/T39</f>
        <v>2710281.3281818186</v>
      </c>
      <c r="T39" s="18">
        <v>33</v>
      </c>
      <c r="U39" s="27"/>
      <c r="V39" s="137"/>
      <c r="W39" s="105"/>
      <c r="X39" s="167"/>
      <c r="Y39" s="156">
        <f t="shared" si="6"/>
        <v>-3261403</v>
      </c>
      <c r="Z39" s="217"/>
      <c r="AD39" s="1"/>
      <c r="AE39" s="1"/>
    </row>
    <row r="40" spans="2:31">
      <c r="B40" s="116">
        <v>45355</v>
      </c>
      <c r="C40" s="14"/>
      <c r="D40" s="87"/>
      <c r="E40" s="87"/>
      <c r="F40" s="23"/>
      <c r="G40" s="26">
        <f>D40+E40+F40-E37-F37</f>
        <v>0</v>
      </c>
      <c r="H40" s="132"/>
      <c r="I40" s="25"/>
      <c r="J40" s="25"/>
      <c r="K40" s="170">
        <f t="shared" si="9"/>
        <v>0</v>
      </c>
      <c r="L40" s="171"/>
      <c r="M40" s="153"/>
      <c r="N40" s="149">
        <f t="shared" si="11"/>
        <v>0</v>
      </c>
      <c r="O40" s="67">
        <f t="shared" si="2"/>
        <v>2576745.1570588239</v>
      </c>
      <c r="P40" s="7">
        <f t="shared" si="5"/>
        <v>87609335.340000004</v>
      </c>
      <c r="Q40" s="164">
        <f>Q39+N40-2</f>
        <v>3655985.51</v>
      </c>
      <c r="R40" s="29">
        <f t="shared" si="3"/>
        <v>1696.9805932772801</v>
      </c>
      <c r="S40" s="5">
        <f>SUM($Q$7:$Q40)/T40-1</f>
        <v>2738095.1570588239</v>
      </c>
      <c r="T40" s="18">
        <v>34</v>
      </c>
      <c r="U40" s="138">
        <f>B40</f>
        <v>45355</v>
      </c>
      <c r="V40" s="131"/>
      <c r="W40" s="105"/>
      <c r="X40" s="167" t="str">
        <f>IFERROR(AVERAGE(W40:W48),"")</f>
        <v/>
      </c>
      <c r="Y40" s="156">
        <f>Y39-K40-L40+2</f>
        <v>-3261401</v>
      </c>
      <c r="Z40" s="217">
        <f>AVERAGE(Y40:Y48)</f>
        <v>-3261400.6666666665</v>
      </c>
      <c r="AD40" s="1"/>
      <c r="AE40" s="1"/>
    </row>
    <row r="41" spans="2:31">
      <c r="B41" s="116">
        <v>45356</v>
      </c>
      <c r="C41" s="14" t="str">
        <f t="shared" si="0"/>
        <v/>
      </c>
      <c r="D41" s="87"/>
      <c r="E41" s="87"/>
      <c r="F41" s="23"/>
      <c r="G41" s="26">
        <f>D41+E41+F41-E40-F40</f>
        <v>0</v>
      </c>
      <c r="H41" s="132"/>
      <c r="I41" s="25"/>
      <c r="J41" s="25"/>
      <c r="K41" s="170">
        <f t="shared" si="9"/>
        <v>0</v>
      </c>
      <c r="L41" s="171"/>
      <c r="M41" s="153"/>
      <c r="N41" s="149">
        <f t="shared" si="11"/>
        <v>0</v>
      </c>
      <c r="O41" s="67">
        <f t="shared" si="2"/>
        <v>2602970.5671428572</v>
      </c>
      <c r="P41" s="7">
        <f t="shared" si="5"/>
        <v>91103969.850000009</v>
      </c>
      <c r="Q41" s="164">
        <f>Q40+N41</f>
        <v>3655985.51</v>
      </c>
      <c r="R41" s="29">
        <f t="shared" si="3"/>
        <v>1713.2354724438383</v>
      </c>
      <c r="S41" s="5">
        <f>SUM($Q$7:$Q41)/T41+1</f>
        <v>2764322.5671428577</v>
      </c>
      <c r="T41" s="18">
        <v>35</v>
      </c>
      <c r="U41" s="138">
        <f>B40+8</f>
        <v>45363</v>
      </c>
      <c r="V41" s="137"/>
      <c r="W41" s="105"/>
      <c r="X41" s="167"/>
      <c r="Y41" s="156">
        <f>Y40-K41-L41+1</f>
        <v>-3261400</v>
      </c>
      <c r="Z41" s="217"/>
      <c r="AD41" s="1"/>
      <c r="AE41" s="1"/>
    </row>
    <row r="42" spans="2:31">
      <c r="B42" s="116">
        <v>45357</v>
      </c>
      <c r="C42" s="14" t="str">
        <f t="shared" si="0"/>
        <v/>
      </c>
      <c r="D42" s="87"/>
      <c r="E42" s="87"/>
      <c r="F42" s="23"/>
      <c r="G42" s="26">
        <f>D42+E42+F42-E41-F41</f>
        <v>0</v>
      </c>
      <c r="H42" s="132"/>
      <c r="I42" s="25"/>
      <c r="J42" s="25"/>
      <c r="K42" s="170">
        <f t="shared" si="9"/>
        <v>0</v>
      </c>
      <c r="L42" s="171"/>
      <c r="M42" s="153"/>
      <c r="N42" s="149">
        <f t="shared" si="11"/>
        <v>0</v>
      </c>
      <c r="O42" s="67">
        <f t="shared" si="2"/>
        <v>2627738.9544444447</v>
      </c>
      <c r="P42" s="7">
        <f t="shared" si="5"/>
        <v>94598602.360000014</v>
      </c>
      <c r="Q42" s="164">
        <f>Q41+N42-2</f>
        <v>3655983.51</v>
      </c>
      <c r="R42" s="29">
        <f t="shared" si="3"/>
        <v>1728.5848581319267</v>
      </c>
      <c r="S42" s="5">
        <f>SUM($Q$7:$Q42)/T42-1</f>
        <v>2789088.9544444452</v>
      </c>
      <c r="T42" s="18">
        <v>36</v>
      </c>
      <c r="U42" s="138"/>
      <c r="V42" s="137"/>
      <c r="W42" s="105"/>
      <c r="X42" s="167"/>
      <c r="Y42" s="156">
        <f t="shared" ref="Y42:Y47" si="14">Y41-K42-L42</f>
        <v>-3261400</v>
      </c>
      <c r="Z42" s="217"/>
      <c r="AD42" s="1"/>
      <c r="AE42" s="1"/>
    </row>
    <row r="43" spans="2:31">
      <c r="B43" s="116">
        <v>45358</v>
      </c>
      <c r="C43" s="14" t="str">
        <f t="shared" si="0"/>
        <v/>
      </c>
      <c r="D43" s="87"/>
      <c r="E43" s="87"/>
      <c r="F43" s="23"/>
      <c r="G43" s="26">
        <f>D43+E43+F43-E42-F42</f>
        <v>0</v>
      </c>
      <c r="H43" s="132"/>
      <c r="I43" s="25"/>
      <c r="J43" s="25"/>
      <c r="K43" s="170">
        <f t="shared" si="9"/>
        <v>0</v>
      </c>
      <c r="L43" s="171"/>
      <c r="M43" s="153"/>
      <c r="N43" s="149">
        <f t="shared" si="11"/>
        <v>0</v>
      </c>
      <c r="O43" s="67">
        <f t="shared" si="2"/>
        <v>2651168.5910810814</v>
      </c>
      <c r="P43" s="7">
        <f t="shared" si="5"/>
        <v>98093237.87000002</v>
      </c>
      <c r="Q43" s="164">
        <f>Q42+N43+3</f>
        <v>3655986.51</v>
      </c>
      <c r="R43" s="29">
        <f t="shared" si="3"/>
        <v>1743.0481317631013</v>
      </c>
      <c r="S43" s="5">
        <f>SUM($Q$7:$Q43)/T43-94</f>
        <v>2812425.5910810819</v>
      </c>
      <c r="T43" s="18">
        <v>37</v>
      </c>
      <c r="U43" s="138"/>
      <c r="V43" s="137"/>
      <c r="W43" s="105"/>
      <c r="X43" s="167"/>
      <c r="Y43" s="156">
        <f>Y42-K43-L43-1</f>
        <v>-3261401</v>
      </c>
      <c r="Z43" s="217"/>
      <c r="AD43" s="1"/>
      <c r="AE43" s="1"/>
    </row>
    <row r="44" spans="2:31">
      <c r="B44" s="116">
        <v>45359</v>
      </c>
      <c r="C44" s="14" t="str">
        <f t="shared" si="0"/>
        <v/>
      </c>
      <c r="D44" s="87"/>
      <c r="E44" s="87"/>
      <c r="F44" s="23"/>
      <c r="G44" s="26">
        <f>D44+E44+F44-E43-F43</f>
        <v>0</v>
      </c>
      <c r="H44" s="132"/>
      <c r="I44" s="25"/>
      <c r="J44" s="25"/>
      <c r="K44" s="170">
        <f t="shared" si="9"/>
        <v>0</v>
      </c>
      <c r="L44" s="171"/>
      <c r="M44" s="153"/>
      <c r="N44" s="149">
        <f t="shared" si="11"/>
        <v>0</v>
      </c>
      <c r="O44" s="67">
        <f t="shared" si="2"/>
        <v>2673365.0626315796</v>
      </c>
      <c r="P44" s="7">
        <f t="shared" si="5"/>
        <v>101587872.38000003</v>
      </c>
      <c r="Q44" s="164">
        <f>Q43+N44-1</f>
        <v>3655985.51</v>
      </c>
      <c r="R44" s="29">
        <f t="shared" si="3"/>
        <v>1756.8636467276808</v>
      </c>
      <c r="S44" s="5">
        <f>SUM($Q$7:$Q44)/T44+1</f>
        <v>2834717.06263158</v>
      </c>
      <c r="T44" s="18">
        <v>38</v>
      </c>
      <c r="U44" s="138"/>
      <c r="V44" s="137"/>
      <c r="W44" s="105"/>
      <c r="X44" s="167"/>
      <c r="Y44" s="156">
        <f>Y43-K44-L44</f>
        <v>-3261401</v>
      </c>
      <c r="Z44" s="217"/>
      <c r="AD44" s="1"/>
      <c r="AE44" s="1"/>
    </row>
    <row r="45" spans="2:31">
      <c r="B45" s="116">
        <v>45360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2694423.2535897442</v>
      </c>
      <c r="P45" s="7">
        <f t="shared" si="5"/>
        <v>105082506.89000003</v>
      </c>
      <c r="Q45" s="164">
        <f t="shared" ref="Q45:Q46" si="15">Q44+N45</f>
        <v>3655985.51</v>
      </c>
      <c r="R45" s="29">
        <f t="shared" si="3"/>
        <v>1769.9148152721364</v>
      </c>
      <c r="S45" s="5">
        <f>SUM($Q$7:$Q45)/T45+1</f>
        <v>2855775.2535897447</v>
      </c>
      <c r="T45" s="18">
        <v>39</v>
      </c>
      <c r="U45" s="138"/>
      <c r="V45" s="137"/>
      <c r="W45" s="105"/>
      <c r="X45" s="167"/>
      <c r="Y45" s="156">
        <f t="shared" si="14"/>
        <v>-3261401</v>
      </c>
      <c r="Z45" s="217"/>
      <c r="AD45" s="1"/>
      <c r="AE45" s="1"/>
    </row>
    <row r="46" spans="2:31">
      <c r="B46" s="116">
        <v>45361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2714428.5350000011</v>
      </c>
      <c r="P46" s="7">
        <f t="shared" si="5"/>
        <v>108577141.40000004</v>
      </c>
      <c r="Q46" s="164">
        <f t="shared" si="15"/>
        <v>3655985.51</v>
      </c>
      <c r="R46" s="29">
        <f t="shared" si="3"/>
        <v>1782.3134253893691</v>
      </c>
      <c r="S46" s="5">
        <f>SUM($Q$7:$Q46)/T46+1</f>
        <v>2875780.5350000011</v>
      </c>
      <c r="T46" s="18">
        <v>40</v>
      </c>
      <c r="U46" s="138"/>
      <c r="V46" s="137"/>
      <c r="W46" s="105"/>
      <c r="X46" s="167"/>
      <c r="Y46" s="156">
        <f t="shared" si="14"/>
        <v>-3261401</v>
      </c>
      <c r="Z46" s="217"/>
      <c r="AD46" s="1"/>
      <c r="AE46" s="1"/>
    </row>
    <row r="47" spans="2:31">
      <c r="B47" s="116">
        <v>45362</v>
      </c>
      <c r="C47" s="14"/>
      <c r="D47" s="87"/>
      <c r="E47" s="87"/>
      <c r="F47" s="23"/>
      <c r="G47" s="26">
        <f>D47+E47+F47-E44-F44</f>
        <v>0</v>
      </c>
      <c r="H47" s="132"/>
      <c r="I47" s="25"/>
      <c r="J47" s="25"/>
      <c r="K47" s="170">
        <f t="shared" si="9"/>
        <v>0</v>
      </c>
      <c r="L47" s="171"/>
      <c r="M47" s="153"/>
      <c r="N47" s="149">
        <f t="shared" si="11"/>
        <v>0</v>
      </c>
      <c r="O47" s="67">
        <f t="shared" si="2"/>
        <v>2733457.9734146353</v>
      </c>
      <c r="P47" s="7">
        <f t="shared" si="5"/>
        <v>112071776.91000004</v>
      </c>
      <c r="Q47" s="164">
        <f>Q46+N47+1</f>
        <v>3655986.51</v>
      </c>
      <c r="R47" s="29">
        <f t="shared" si="3"/>
        <v>1803.0709282338723</v>
      </c>
      <c r="S47" s="5">
        <f>SUM($Q$7:$Q47)/T47+1+14465-2</f>
        <v>2909272.9734146353</v>
      </c>
      <c r="T47" s="18">
        <v>41</v>
      </c>
      <c r="U47" s="138"/>
      <c r="V47" s="131"/>
      <c r="W47" s="105"/>
      <c r="X47" s="167"/>
      <c r="Y47" s="156">
        <f t="shared" si="14"/>
        <v>-3261401</v>
      </c>
      <c r="Z47" s="217"/>
      <c r="AD47" s="1"/>
      <c r="AE47" s="1"/>
    </row>
    <row r="48" spans="2:31">
      <c r="B48" s="116">
        <v>45363</v>
      </c>
      <c r="C48" s="14" t="str">
        <f t="shared" si="0"/>
        <v/>
      </c>
      <c r="D48" s="87"/>
      <c r="E48" s="87"/>
      <c r="F48" s="23"/>
      <c r="G48" s="26">
        <f>D48+E48+F48-E47-F47</f>
        <v>0</v>
      </c>
      <c r="H48" s="132"/>
      <c r="I48" s="25"/>
      <c r="J48" s="25"/>
      <c r="K48" s="170">
        <f t="shared" si="9"/>
        <v>0</v>
      </c>
      <c r="L48" s="171"/>
      <c r="M48" s="153"/>
      <c r="N48" s="149">
        <f t="shared" si="11"/>
        <v>0</v>
      </c>
      <c r="O48" s="67">
        <f t="shared" si="2"/>
        <v>2751581.2004761915</v>
      </c>
      <c r="P48" s="7">
        <f t="shared" si="5"/>
        <v>115566410.42000005</v>
      </c>
      <c r="Q48" s="164">
        <f>Q47+N48-2</f>
        <v>3655984.51</v>
      </c>
      <c r="R48" s="29">
        <f t="shared" si="3"/>
        <v>1805.470806177955</v>
      </c>
      <c r="S48" s="5">
        <f>SUM($Q$7:$Q48)/T48+213</f>
        <v>2913145.2004761919</v>
      </c>
      <c r="T48" s="18">
        <v>42</v>
      </c>
      <c r="U48" s="138"/>
      <c r="V48" s="137"/>
      <c r="W48" s="105"/>
      <c r="X48" s="167"/>
      <c r="Y48" s="156">
        <f>Y47-K48-L48+1</f>
        <v>-3261400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'JAN 2024 '!Q48</f>
        <v>195736.51</v>
      </c>
    </row>
    <row r="53" spans="4:7">
      <c r="D53" s="138" t="s">
        <v>4</v>
      </c>
      <c r="E53" s="139"/>
      <c r="F53" s="143"/>
      <c r="G53" s="91">
        <f>'JAN 2024 '!E48</f>
        <v>107</v>
      </c>
    </row>
    <row r="54" spans="4:7">
      <c r="D54" s="138" t="s">
        <v>60</v>
      </c>
      <c r="E54" s="144"/>
      <c r="F54" s="143"/>
      <c r="G54" s="91">
        <f>'JAN 2024 '!F48</f>
        <v>-3472446</v>
      </c>
    </row>
    <row r="55" spans="4:7" ht="12.75" thickBot="1">
      <c r="D55" s="140" t="s">
        <v>46</v>
      </c>
      <c r="E55" s="145"/>
      <c r="F55" s="146"/>
      <c r="G55" s="158">
        <f>'JAN 2024 '!W48</f>
        <v>-3266231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R5096"/>
  <sheetViews>
    <sheetView topLeftCell="A5075" workbookViewId="0">
      <selection activeCell="D5096" sqref="D5096"/>
    </sheetView>
  </sheetViews>
  <sheetFormatPr defaultRowHeight="12.75"/>
  <cols>
    <col min="1" max="1" width="10.140625" style="96" bestFit="1" customWidth="1"/>
    <col min="2" max="2" width="20.85546875" bestFit="1" customWidth="1"/>
    <col min="3" max="3" width="19.42578125" bestFit="1" customWidth="1"/>
    <col min="9" max="9" width="11.28515625" bestFit="1" customWidth="1"/>
    <col min="12" max="12" width="9.7109375" bestFit="1" customWidth="1"/>
    <col min="16" max="16" width="8.5703125" customWidth="1"/>
    <col min="17" max="17" width="9.7109375" hidden="1" customWidth="1"/>
    <col min="18" max="18" width="9.140625" hidden="1" customWidth="1"/>
  </cols>
  <sheetData>
    <row r="1" spans="1:6">
      <c r="A1" s="96" t="s">
        <v>110</v>
      </c>
      <c r="B1" t="s">
        <v>150</v>
      </c>
      <c r="C1" t="s">
        <v>151</v>
      </c>
      <c r="F1" t="s">
        <v>124</v>
      </c>
    </row>
    <row r="2" spans="1:6">
      <c r="A2" s="97">
        <v>39601</v>
      </c>
      <c r="B2" s="76">
        <v>405</v>
      </c>
      <c r="C2" s="77">
        <v>81</v>
      </c>
    </row>
    <row r="3" spans="1:6">
      <c r="A3" s="97">
        <v>39602</v>
      </c>
      <c r="B3" s="76">
        <v>1</v>
      </c>
      <c r="C3" s="77">
        <v>61</v>
      </c>
    </row>
    <row r="4" spans="1:6">
      <c r="A4" s="97">
        <v>39603</v>
      </c>
      <c r="B4" s="76">
        <v>2</v>
      </c>
      <c r="C4" s="77">
        <v>70</v>
      </c>
    </row>
    <row r="5" spans="1:6">
      <c r="A5" s="97">
        <v>39604</v>
      </c>
      <c r="B5" s="76">
        <v>4</v>
      </c>
      <c r="C5" s="77">
        <v>216</v>
      </c>
    </row>
    <row r="6" spans="1:6">
      <c r="A6" s="97">
        <v>39605</v>
      </c>
      <c r="B6" s="76">
        <v>0</v>
      </c>
      <c r="C6" s="77">
        <v>70</v>
      </c>
    </row>
    <row r="7" spans="1:6">
      <c r="A7" s="97">
        <v>39608</v>
      </c>
      <c r="B7" s="76">
        <v>3</v>
      </c>
      <c r="C7" s="77">
        <v>79</v>
      </c>
    </row>
    <row r="8" spans="1:6" ht="13.5" thickBot="1">
      <c r="A8" s="98">
        <v>39609</v>
      </c>
      <c r="B8" s="78">
        <v>2486</v>
      </c>
      <c r="C8" s="79">
        <v>2325</v>
      </c>
    </row>
    <row r="9" spans="1:6" ht="13.5" thickTop="1">
      <c r="A9" s="99">
        <v>39610</v>
      </c>
      <c r="B9" s="80">
        <v>0</v>
      </c>
      <c r="C9" s="81">
        <v>50</v>
      </c>
    </row>
    <row r="10" spans="1:6">
      <c r="A10" s="97">
        <v>39611</v>
      </c>
      <c r="B10" s="76">
        <v>9</v>
      </c>
      <c r="C10" s="77">
        <v>50</v>
      </c>
    </row>
    <row r="11" spans="1:6">
      <c r="A11" s="97">
        <v>39612</v>
      </c>
      <c r="B11" s="76">
        <v>2</v>
      </c>
      <c r="C11" s="77">
        <v>54</v>
      </c>
    </row>
    <row r="12" spans="1:6">
      <c r="A12" s="97">
        <v>39615</v>
      </c>
      <c r="B12" s="76">
        <v>272</v>
      </c>
      <c r="C12" s="77">
        <v>62</v>
      </c>
    </row>
    <row r="13" spans="1:6">
      <c r="A13" s="97">
        <v>39616</v>
      </c>
      <c r="B13" s="76">
        <v>6</v>
      </c>
      <c r="C13" s="77">
        <v>49</v>
      </c>
    </row>
    <row r="14" spans="1:6">
      <c r="A14" s="97">
        <v>39617</v>
      </c>
      <c r="B14" s="76">
        <v>14</v>
      </c>
      <c r="C14" s="77">
        <v>45</v>
      </c>
    </row>
    <row r="15" spans="1:6">
      <c r="A15" s="97">
        <v>39618</v>
      </c>
      <c r="B15" s="76">
        <v>473</v>
      </c>
      <c r="C15" s="77">
        <v>49</v>
      </c>
    </row>
    <row r="16" spans="1:6">
      <c r="A16" s="97">
        <v>39619</v>
      </c>
      <c r="B16" s="76">
        <v>2</v>
      </c>
      <c r="C16" s="77">
        <v>48</v>
      </c>
    </row>
    <row r="17" spans="1:3">
      <c r="A17" s="97">
        <v>39622</v>
      </c>
      <c r="B17" s="76">
        <v>13</v>
      </c>
      <c r="C17" s="77">
        <v>69</v>
      </c>
    </row>
    <row r="18" spans="1:3">
      <c r="A18" s="97">
        <v>39623</v>
      </c>
      <c r="B18" s="76">
        <v>19</v>
      </c>
      <c r="C18" s="77">
        <v>216</v>
      </c>
    </row>
    <row r="19" spans="1:3">
      <c r="A19" s="97">
        <v>39624</v>
      </c>
      <c r="B19" s="76">
        <v>140</v>
      </c>
      <c r="C19" s="77">
        <v>68</v>
      </c>
    </row>
    <row r="20" spans="1:3">
      <c r="A20" s="97">
        <v>39625</v>
      </c>
      <c r="B20" s="76">
        <v>29</v>
      </c>
      <c r="C20" s="77">
        <v>77</v>
      </c>
    </row>
    <row r="21" spans="1:3">
      <c r="A21" s="97">
        <v>39626</v>
      </c>
      <c r="B21" s="76">
        <v>0</v>
      </c>
      <c r="C21" s="77">
        <v>674</v>
      </c>
    </row>
    <row r="22" spans="1:3">
      <c r="A22" s="97">
        <v>39629</v>
      </c>
      <c r="B22" s="76">
        <v>2509</v>
      </c>
      <c r="C22" s="77">
        <v>2049</v>
      </c>
    </row>
    <row r="23" spans="1:3">
      <c r="A23" s="97">
        <v>39630</v>
      </c>
      <c r="B23" s="76">
        <v>5</v>
      </c>
      <c r="C23" s="77">
        <v>247</v>
      </c>
    </row>
    <row r="24" spans="1:3">
      <c r="A24" s="97">
        <v>39631</v>
      </c>
      <c r="B24" s="76">
        <v>35</v>
      </c>
      <c r="C24" s="77">
        <v>176</v>
      </c>
    </row>
    <row r="25" spans="1:3">
      <c r="A25" s="97">
        <v>39632</v>
      </c>
      <c r="B25" s="76">
        <v>0</v>
      </c>
      <c r="C25" s="77">
        <v>301</v>
      </c>
    </row>
    <row r="26" spans="1:3">
      <c r="A26" s="97">
        <v>39633</v>
      </c>
      <c r="B26" s="76">
        <v>4</v>
      </c>
      <c r="C26" s="77">
        <v>271</v>
      </c>
    </row>
    <row r="27" spans="1:3">
      <c r="A27" s="97">
        <v>39636</v>
      </c>
      <c r="B27" s="76">
        <v>39</v>
      </c>
      <c r="C27" s="77">
        <v>570</v>
      </c>
    </row>
    <row r="28" spans="1:3" ht="13.5" thickBot="1">
      <c r="A28" s="98">
        <v>39637</v>
      </c>
      <c r="B28" s="78">
        <v>214</v>
      </c>
      <c r="C28" s="79">
        <v>5021</v>
      </c>
    </row>
    <row r="29" spans="1:3" ht="13.5" thickTop="1">
      <c r="A29" s="99">
        <v>39638</v>
      </c>
      <c r="B29" s="80">
        <v>60</v>
      </c>
      <c r="C29" s="81">
        <v>57</v>
      </c>
    </row>
    <row r="30" spans="1:3">
      <c r="A30" s="97">
        <v>39639</v>
      </c>
      <c r="B30" s="76">
        <v>2</v>
      </c>
      <c r="C30" s="77">
        <v>63</v>
      </c>
    </row>
    <row r="31" spans="1:3">
      <c r="A31" s="97">
        <v>39640</v>
      </c>
      <c r="B31" s="76">
        <v>157</v>
      </c>
      <c r="C31" s="77">
        <v>62</v>
      </c>
    </row>
    <row r="32" spans="1:3">
      <c r="A32" s="97">
        <v>39643</v>
      </c>
      <c r="B32" s="76">
        <v>481</v>
      </c>
      <c r="C32" s="77">
        <v>66</v>
      </c>
    </row>
    <row r="33" spans="1:3">
      <c r="A33" s="97">
        <v>39644</v>
      </c>
      <c r="B33" s="76">
        <v>7</v>
      </c>
      <c r="C33" s="77">
        <v>59</v>
      </c>
    </row>
    <row r="34" spans="1:3">
      <c r="A34" s="97">
        <v>39645</v>
      </c>
      <c r="B34" s="76">
        <v>103</v>
      </c>
      <c r="C34" s="77">
        <v>64</v>
      </c>
    </row>
    <row r="35" spans="1:3">
      <c r="A35" s="97">
        <v>39646</v>
      </c>
      <c r="B35" s="76">
        <v>88</v>
      </c>
      <c r="C35" s="77">
        <v>57</v>
      </c>
    </row>
    <row r="36" spans="1:3">
      <c r="A36" s="97">
        <v>39647</v>
      </c>
      <c r="B36" s="76">
        <v>0</v>
      </c>
      <c r="C36" s="77">
        <v>76</v>
      </c>
    </row>
    <row r="37" spans="1:3">
      <c r="A37" s="97">
        <v>39650</v>
      </c>
      <c r="B37" s="76">
        <v>25</v>
      </c>
      <c r="C37" s="77">
        <v>169</v>
      </c>
    </row>
    <row r="38" spans="1:3">
      <c r="A38" s="97">
        <v>39651</v>
      </c>
      <c r="B38" s="76">
        <v>5</v>
      </c>
      <c r="C38" s="77">
        <v>143</v>
      </c>
    </row>
    <row r="39" spans="1:3">
      <c r="A39" s="97">
        <v>39652</v>
      </c>
      <c r="B39" s="76">
        <v>9</v>
      </c>
      <c r="C39" s="77">
        <v>68</v>
      </c>
    </row>
    <row r="40" spans="1:3">
      <c r="A40" s="97">
        <v>39653</v>
      </c>
      <c r="B40" s="76">
        <v>7</v>
      </c>
      <c r="C40" s="77">
        <v>87</v>
      </c>
    </row>
    <row r="41" spans="1:3">
      <c r="A41" s="97">
        <v>39654</v>
      </c>
      <c r="B41" s="76">
        <v>1</v>
      </c>
      <c r="C41" s="77">
        <v>74</v>
      </c>
    </row>
    <row r="42" spans="1:3">
      <c r="A42" s="97">
        <v>39657</v>
      </c>
      <c r="B42" s="76">
        <v>0</v>
      </c>
      <c r="C42" s="77">
        <v>72</v>
      </c>
    </row>
    <row r="43" spans="1:3">
      <c r="A43" s="97">
        <v>39658</v>
      </c>
      <c r="B43" s="76">
        <v>6</v>
      </c>
      <c r="C43" s="77">
        <v>3494</v>
      </c>
    </row>
    <row r="44" spans="1:3">
      <c r="A44" s="97">
        <v>39659</v>
      </c>
      <c r="B44" s="76">
        <v>0</v>
      </c>
      <c r="C44" s="77">
        <v>3495</v>
      </c>
    </row>
    <row r="45" spans="1:3">
      <c r="A45" s="97">
        <v>39660</v>
      </c>
      <c r="B45" s="76">
        <v>38</v>
      </c>
      <c r="C45" s="77">
        <v>416</v>
      </c>
    </row>
    <row r="46" spans="1:3">
      <c r="A46" s="97">
        <v>39661</v>
      </c>
      <c r="B46" s="76">
        <v>0</v>
      </c>
      <c r="C46" s="77">
        <v>87</v>
      </c>
    </row>
    <row r="47" spans="1:3">
      <c r="A47" s="97">
        <v>39664</v>
      </c>
      <c r="B47" s="76">
        <v>21</v>
      </c>
      <c r="C47" s="77">
        <v>93</v>
      </c>
    </row>
    <row r="48" spans="1:3">
      <c r="A48" s="98">
        <v>39665</v>
      </c>
      <c r="B48" s="78">
        <v>0</v>
      </c>
      <c r="C48" s="79">
        <v>101</v>
      </c>
    </row>
    <row r="49" spans="1:3">
      <c r="A49" s="97">
        <v>39666</v>
      </c>
      <c r="B49" s="76">
        <v>0</v>
      </c>
      <c r="C49" s="77">
        <v>101</v>
      </c>
    </row>
    <row r="50" spans="1:3">
      <c r="A50" s="97">
        <v>39667</v>
      </c>
      <c r="B50" s="76">
        <v>10</v>
      </c>
      <c r="C50" s="77">
        <v>106</v>
      </c>
    </row>
    <row r="51" spans="1:3">
      <c r="A51" s="97">
        <v>39668</v>
      </c>
      <c r="B51" s="76">
        <v>0</v>
      </c>
      <c r="C51" s="77">
        <v>88</v>
      </c>
    </row>
    <row r="52" spans="1:3">
      <c r="A52" s="97">
        <v>39671</v>
      </c>
      <c r="B52" s="76">
        <v>0</v>
      </c>
      <c r="C52" s="77">
        <v>764</v>
      </c>
    </row>
    <row r="53" spans="1:3" ht="13.5" thickBot="1">
      <c r="A53" s="98">
        <v>39672</v>
      </c>
      <c r="B53" s="78">
        <v>595</v>
      </c>
      <c r="C53" s="79">
        <v>1183</v>
      </c>
    </row>
    <row r="54" spans="1:3" ht="13.5" thickTop="1">
      <c r="A54" s="99">
        <v>39673</v>
      </c>
      <c r="B54" s="80">
        <v>3</v>
      </c>
      <c r="C54" s="81">
        <v>82</v>
      </c>
    </row>
    <row r="55" spans="1:3">
      <c r="A55" s="97">
        <v>39674</v>
      </c>
      <c r="B55" s="76">
        <v>0</v>
      </c>
      <c r="C55" s="77">
        <v>40</v>
      </c>
    </row>
    <row r="56" spans="1:3">
      <c r="A56" s="97">
        <v>39675</v>
      </c>
      <c r="B56" s="76">
        <v>75</v>
      </c>
      <c r="C56" s="77">
        <v>41</v>
      </c>
    </row>
    <row r="57" spans="1:3">
      <c r="A57" s="97">
        <v>39678</v>
      </c>
      <c r="B57" s="76">
        <v>636</v>
      </c>
      <c r="C57" s="77">
        <v>81</v>
      </c>
    </row>
    <row r="58" spans="1:3">
      <c r="A58" s="97">
        <v>39679</v>
      </c>
      <c r="B58" s="76">
        <v>12</v>
      </c>
      <c r="C58" s="77">
        <v>84</v>
      </c>
    </row>
    <row r="59" spans="1:3">
      <c r="A59" s="97">
        <v>39680</v>
      </c>
      <c r="B59" s="76">
        <v>1</v>
      </c>
      <c r="C59" s="77">
        <v>136</v>
      </c>
    </row>
    <row r="60" spans="1:3">
      <c r="A60" s="97">
        <v>39681</v>
      </c>
      <c r="B60" s="76">
        <v>0</v>
      </c>
      <c r="C60" s="77">
        <v>196</v>
      </c>
    </row>
    <row r="61" spans="1:3">
      <c r="A61" s="97">
        <v>39682</v>
      </c>
      <c r="B61" s="76">
        <v>0</v>
      </c>
      <c r="C61" s="77">
        <v>90</v>
      </c>
    </row>
    <row r="62" spans="1:3">
      <c r="A62" s="97">
        <v>39685</v>
      </c>
      <c r="B62" s="76">
        <v>11</v>
      </c>
      <c r="C62" s="77">
        <v>78</v>
      </c>
    </row>
    <row r="63" spans="1:3">
      <c r="A63" s="97">
        <v>39686</v>
      </c>
      <c r="B63" s="76">
        <v>8</v>
      </c>
      <c r="C63" s="77">
        <v>121</v>
      </c>
    </row>
    <row r="64" spans="1:3">
      <c r="A64" s="97">
        <v>39687</v>
      </c>
      <c r="B64" s="76">
        <v>482</v>
      </c>
      <c r="C64" s="77">
        <v>149</v>
      </c>
    </row>
    <row r="65" spans="1:3">
      <c r="A65" s="97">
        <v>39688</v>
      </c>
      <c r="B65" s="76">
        <v>1</v>
      </c>
      <c r="C65" s="77">
        <v>96</v>
      </c>
    </row>
    <row r="66" spans="1:3">
      <c r="A66" s="97">
        <v>39689</v>
      </c>
      <c r="B66" s="76">
        <v>39</v>
      </c>
      <c r="C66" s="77">
        <v>232</v>
      </c>
    </row>
    <row r="67" spans="1:3">
      <c r="A67" s="98">
        <v>39692</v>
      </c>
      <c r="B67" s="78">
        <v>197</v>
      </c>
      <c r="C67" s="79">
        <v>92</v>
      </c>
    </row>
    <row r="68" spans="1:3">
      <c r="A68" s="97">
        <v>39693</v>
      </c>
      <c r="B68" s="76">
        <v>22</v>
      </c>
      <c r="C68" s="77">
        <v>65</v>
      </c>
    </row>
    <row r="69" spans="1:3">
      <c r="A69" s="97">
        <v>39694</v>
      </c>
      <c r="B69" s="76">
        <v>2</v>
      </c>
      <c r="C69" s="77">
        <v>68</v>
      </c>
    </row>
    <row r="70" spans="1:3">
      <c r="A70" s="97">
        <v>39695</v>
      </c>
      <c r="B70" s="76">
        <v>2</v>
      </c>
      <c r="C70" s="77">
        <v>148</v>
      </c>
    </row>
    <row r="71" spans="1:3">
      <c r="A71" s="97">
        <v>39696</v>
      </c>
      <c r="B71" s="76">
        <v>1</v>
      </c>
      <c r="C71" s="77">
        <v>81</v>
      </c>
    </row>
    <row r="72" spans="1:3">
      <c r="A72" s="97">
        <v>39699</v>
      </c>
      <c r="B72" s="76">
        <v>2</v>
      </c>
      <c r="C72" s="77">
        <v>318</v>
      </c>
    </row>
    <row r="73" spans="1:3" ht="13.5" thickBot="1">
      <c r="A73" s="98">
        <v>39700</v>
      </c>
      <c r="B73" s="78">
        <v>535</v>
      </c>
      <c r="C73" s="79">
        <v>12402</v>
      </c>
    </row>
    <row r="74" spans="1:3" ht="13.5" thickTop="1">
      <c r="A74" s="99">
        <v>39701</v>
      </c>
      <c r="B74" s="80">
        <v>1</v>
      </c>
      <c r="C74" s="81">
        <v>48</v>
      </c>
    </row>
    <row r="75" spans="1:3">
      <c r="A75" s="97">
        <v>39702</v>
      </c>
      <c r="B75" s="76">
        <v>0</v>
      </c>
      <c r="C75" s="77">
        <v>52</v>
      </c>
    </row>
    <row r="76" spans="1:3">
      <c r="A76" s="97">
        <v>39703</v>
      </c>
      <c r="B76" s="76">
        <v>0</v>
      </c>
      <c r="C76" s="77">
        <v>55</v>
      </c>
    </row>
    <row r="77" spans="1:3">
      <c r="A77" s="97">
        <v>39706</v>
      </c>
      <c r="B77" s="76">
        <v>39</v>
      </c>
      <c r="C77" s="77">
        <v>61</v>
      </c>
    </row>
    <row r="78" spans="1:3">
      <c r="A78" s="97">
        <v>39707</v>
      </c>
      <c r="B78" s="76">
        <v>66</v>
      </c>
      <c r="C78" s="77">
        <v>203</v>
      </c>
    </row>
    <row r="79" spans="1:3">
      <c r="A79" s="97">
        <v>39708</v>
      </c>
      <c r="B79" s="76">
        <v>744</v>
      </c>
      <c r="C79" s="77">
        <v>807</v>
      </c>
    </row>
    <row r="80" spans="1:3">
      <c r="A80" s="97">
        <v>39709</v>
      </c>
      <c r="B80" s="76">
        <v>1800</v>
      </c>
      <c r="C80" s="77">
        <v>2584</v>
      </c>
    </row>
    <row r="81" spans="1:3">
      <c r="A81" s="97">
        <v>39710</v>
      </c>
      <c r="B81" s="76">
        <v>1260</v>
      </c>
      <c r="C81" s="77">
        <v>1801</v>
      </c>
    </row>
    <row r="82" spans="1:3">
      <c r="A82" s="97">
        <v>39713</v>
      </c>
      <c r="B82" s="76">
        <v>2089</v>
      </c>
      <c r="C82" s="77">
        <v>5965</v>
      </c>
    </row>
    <row r="83" spans="1:3">
      <c r="A83" s="97">
        <v>39714</v>
      </c>
      <c r="B83" s="76">
        <v>1341</v>
      </c>
      <c r="C83" s="77">
        <v>1434</v>
      </c>
    </row>
    <row r="84" spans="1:3">
      <c r="A84" s="97">
        <v>39715</v>
      </c>
      <c r="B84" s="76">
        <v>684</v>
      </c>
      <c r="C84" s="77">
        <v>3064</v>
      </c>
    </row>
    <row r="85" spans="1:3">
      <c r="A85" s="97">
        <v>39716</v>
      </c>
      <c r="B85" s="76">
        <v>2767</v>
      </c>
      <c r="C85" s="77">
        <v>4248</v>
      </c>
    </row>
    <row r="86" spans="1:3">
      <c r="A86" s="97">
        <v>39717</v>
      </c>
      <c r="B86" s="76">
        <v>6788</v>
      </c>
      <c r="C86" s="77">
        <v>28059</v>
      </c>
    </row>
    <row r="87" spans="1:3">
      <c r="A87" s="98">
        <v>39720</v>
      </c>
      <c r="B87" s="78">
        <v>15481</v>
      </c>
      <c r="C87" s="79">
        <v>44353</v>
      </c>
    </row>
    <row r="88" spans="1:3">
      <c r="A88" s="97">
        <v>39721</v>
      </c>
      <c r="B88" s="76">
        <v>15946</v>
      </c>
      <c r="C88" s="77">
        <v>102811</v>
      </c>
    </row>
    <row r="89" spans="1:3">
      <c r="A89" s="97">
        <v>39722</v>
      </c>
      <c r="B89" s="76">
        <v>15348</v>
      </c>
      <c r="C89" s="77">
        <v>48473</v>
      </c>
    </row>
    <row r="90" spans="1:3">
      <c r="A90" s="97">
        <v>39723</v>
      </c>
      <c r="B90" s="76">
        <v>23260</v>
      </c>
      <c r="C90" s="77">
        <v>45676</v>
      </c>
    </row>
    <row r="91" spans="1:3">
      <c r="A91" s="97">
        <v>39724</v>
      </c>
      <c r="B91" s="76">
        <v>24592</v>
      </c>
      <c r="C91" s="77">
        <v>38854</v>
      </c>
    </row>
    <row r="92" spans="1:3">
      <c r="A92" s="97">
        <v>39727</v>
      </c>
      <c r="B92" s="76">
        <v>13561</v>
      </c>
      <c r="C92" s="77">
        <v>42550</v>
      </c>
    </row>
    <row r="93" spans="1:3" ht="13.5" thickBot="1">
      <c r="A93" s="98">
        <v>39728</v>
      </c>
      <c r="B93" s="78">
        <v>18174</v>
      </c>
      <c r="C93" s="79">
        <v>49524</v>
      </c>
    </row>
    <row r="94" spans="1:3" ht="13.5" thickTop="1">
      <c r="A94" s="99">
        <v>39729</v>
      </c>
      <c r="B94" s="80">
        <v>14508</v>
      </c>
      <c r="C94" s="81">
        <v>39831</v>
      </c>
    </row>
    <row r="95" spans="1:3">
      <c r="A95" s="97">
        <v>39730</v>
      </c>
      <c r="B95" s="76">
        <v>8357</v>
      </c>
      <c r="C95" s="77">
        <v>64364</v>
      </c>
    </row>
    <row r="96" spans="1:3">
      <c r="A96" s="97">
        <v>39731</v>
      </c>
      <c r="B96" s="76">
        <v>16634</v>
      </c>
      <c r="C96" s="77">
        <v>154655</v>
      </c>
    </row>
    <row r="97" spans="1:3">
      <c r="A97" s="97">
        <v>39734</v>
      </c>
      <c r="B97" s="76">
        <v>17499</v>
      </c>
      <c r="C97" s="77">
        <v>182758</v>
      </c>
    </row>
    <row r="98" spans="1:3">
      <c r="A98" s="97">
        <v>39735</v>
      </c>
      <c r="B98" s="76">
        <v>19569</v>
      </c>
      <c r="C98" s="77">
        <v>196116</v>
      </c>
    </row>
    <row r="99" spans="1:3">
      <c r="A99" s="97">
        <v>39736</v>
      </c>
      <c r="B99" s="76">
        <v>12671</v>
      </c>
      <c r="C99" s="77">
        <v>210799</v>
      </c>
    </row>
    <row r="100" spans="1:3">
      <c r="A100" s="97">
        <v>39737</v>
      </c>
      <c r="B100" s="76">
        <v>13025</v>
      </c>
      <c r="C100" s="77">
        <v>204958</v>
      </c>
    </row>
    <row r="101" spans="1:3">
      <c r="A101" s="97">
        <v>39738</v>
      </c>
      <c r="B101" s="76">
        <v>14003</v>
      </c>
      <c r="C101" s="77">
        <v>239576</v>
      </c>
    </row>
    <row r="102" spans="1:3">
      <c r="A102" s="97">
        <v>39741</v>
      </c>
      <c r="B102" s="76">
        <v>14774</v>
      </c>
      <c r="C102" s="77">
        <v>228485</v>
      </c>
    </row>
    <row r="103" spans="1:3">
      <c r="A103" s="97">
        <v>39742</v>
      </c>
      <c r="B103" s="76">
        <v>14637</v>
      </c>
      <c r="C103" s="77">
        <v>230791</v>
      </c>
    </row>
    <row r="104" spans="1:3">
      <c r="A104" s="97">
        <v>39743</v>
      </c>
      <c r="B104" s="76">
        <v>13947</v>
      </c>
      <c r="C104" s="77">
        <v>226051</v>
      </c>
    </row>
    <row r="105" spans="1:3">
      <c r="A105" s="97">
        <v>39744</v>
      </c>
      <c r="B105" s="76">
        <v>12754</v>
      </c>
      <c r="C105" s="77">
        <v>199204</v>
      </c>
    </row>
    <row r="106" spans="1:3">
      <c r="A106" s="97">
        <v>39745</v>
      </c>
      <c r="B106" s="76">
        <v>14086</v>
      </c>
      <c r="C106" s="77">
        <v>202558</v>
      </c>
    </row>
    <row r="107" spans="1:3">
      <c r="A107" s="97">
        <v>39748</v>
      </c>
      <c r="B107" s="76">
        <v>21873</v>
      </c>
      <c r="C107" s="77">
        <v>215309</v>
      </c>
    </row>
    <row r="108" spans="1:3">
      <c r="A108" s="97">
        <v>39749</v>
      </c>
      <c r="B108" s="76">
        <v>20306</v>
      </c>
      <c r="C108" s="77">
        <v>215850</v>
      </c>
    </row>
    <row r="109" spans="1:3">
      <c r="A109" s="97">
        <v>39750</v>
      </c>
      <c r="B109" s="76">
        <v>14543</v>
      </c>
      <c r="C109" s="77">
        <v>215909</v>
      </c>
    </row>
    <row r="110" spans="1:3">
      <c r="A110" s="97">
        <v>39751</v>
      </c>
      <c r="B110" s="76">
        <v>8231</v>
      </c>
      <c r="C110" s="77">
        <v>244894</v>
      </c>
    </row>
    <row r="111" spans="1:3">
      <c r="A111" s="97">
        <v>39752</v>
      </c>
      <c r="B111" s="76">
        <v>11230</v>
      </c>
      <c r="C111" s="77">
        <v>279367</v>
      </c>
    </row>
    <row r="112" spans="1:3">
      <c r="A112" s="98">
        <v>39756</v>
      </c>
      <c r="B112" s="78">
        <v>10521</v>
      </c>
      <c r="C112" s="79">
        <v>295922</v>
      </c>
    </row>
    <row r="113" spans="1:3">
      <c r="A113" s="98">
        <v>39757</v>
      </c>
      <c r="B113" s="78">
        <v>3516</v>
      </c>
      <c r="C113" s="79">
        <v>274521</v>
      </c>
    </row>
    <row r="114" spans="1:3">
      <c r="A114" s="98">
        <v>39758</v>
      </c>
      <c r="B114" s="78">
        <v>1159</v>
      </c>
      <c r="C114" s="79">
        <v>297424</v>
      </c>
    </row>
    <row r="115" spans="1:3">
      <c r="A115" s="98">
        <v>39759</v>
      </c>
      <c r="B115" s="78">
        <v>8441</v>
      </c>
      <c r="C115" s="79">
        <v>225501</v>
      </c>
    </row>
    <row r="116" spans="1:3">
      <c r="A116" s="98">
        <v>39762</v>
      </c>
      <c r="B116" s="78">
        <v>11409</v>
      </c>
      <c r="C116" s="79">
        <v>209483</v>
      </c>
    </row>
    <row r="117" spans="1:3" ht="13.5" thickBot="1">
      <c r="A117" s="100">
        <v>39763</v>
      </c>
      <c r="B117" s="82">
        <v>7339</v>
      </c>
      <c r="C117" s="83">
        <v>142174</v>
      </c>
    </row>
    <row r="118" spans="1:3" ht="13.5" thickTop="1">
      <c r="A118" s="99">
        <v>39764</v>
      </c>
      <c r="B118" s="80">
        <v>4025</v>
      </c>
      <c r="C118" s="81">
        <v>103318</v>
      </c>
    </row>
    <row r="119" spans="1:3">
      <c r="A119" s="98">
        <v>39765</v>
      </c>
      <c r="B119" s="78">
        <v>3678</v>
      </c>
      <c r="C119" s="79">
        <v>127566</v>
      </c>
    </row>
    <row r="120" spans="1:3">
      <c r="A120" s="98">
        <v>39766</v>
      </c>
      <c r="B120" s="78">
        <v>2654</v>
      </c>
      <c r="C120" s="79">
        <v>163844</v>
      </c>
    </row>
    <row r="121" spans="1:3">
      <c r="A121" s="98">
        <v>39769</v>
      </c>
      <c r="B121" s="78">
        <v>4127</v>
      </c>
      <c r="C121" s="79">
        <v>157812</v>
      </c>
    </row>
    <row r="122" spans="1:3">
      <c r="A122" s="97">
        <v>39770</v>
      </c>
      <c r="B122" s="78">
        <v>3267</v>
      </c>
      <c r="C122" s="79">
        <v>183039</v>
      </c>
    </row>
    <row r="123" spans="1:3">
      <c r="A123" s="97">
        <v>39771</v>
      </c>
      <c r="B123" s="78">
        <v>2180</v>
      </c>
      <c r="C123" s="79">
        <v>205539</v>
      </c>
    </row>
    <row r="124" spans="1:3">
      <c r="A124" s="97">
        <v>39772</v>
      </c>
      <c r="B124" s="78">
        <v>2174</v>
      </c>
      <c r="C124" s="79">
        <v>202156</v>
      </c>
    </row>
    <row r="125" spans="1:3">
      <c r="A125" s="97">
        <v>39773</v>
      </c>
      <c r="B125" s="78">
        <v>1893</v>
      </c>
      <c r="C125" s="79">
        <v>224193</v>
      </c>
    </row>
    <row r="126" spans="1:3">
      <c r="A126" s="97">
        <v>39776</v>
      </c>
      <c r="B126" s="76">
        <v>1970</v>
      </c>
      <c r="C126" s="77">
        <v>222229</v>
      </c>
    </row>
    <row r="127" spans="1:3">
      <c r="A127" s="97">
        <v>39777</v>
      </c>
      <c r="B127" s="76">
        <v>2229</v>
      </c>
      <c r="C127" s="77">
        <v>218939</v>
      </c>
    </row>
    <row r="128" spans="1:3">
      <c r="A128" s="97">
        <v>39778</v>
      </c>
      <c r="B128" s="76">
        <v>1790</v>
      </c>
      <c r="C128" s="77">
        <v>216941</v>
      </c>
    </row>
    <row r="129" spans="1:3">
      <c r="A129" s="97">
        <v>39779</v>
      </c>
      <c r="B129" s="76">
        <v>5959</v>
      </c>
      <c r="C129" s="77">
        <v>204998</v>
      </c>
    </row>
    <row r="130" spans="1:3">
      <c r="A130" s="97">
        <v>39780</v>
      </c>
      <c r="B130" s="76">
        <v>4375</v>
      </c>
      <c r="C130" s="77">
        <v>203889</v>
      </c>
    </row>
    <row r="131" spans="1:3">
      <c r="A131" s="97">
        <v>39783</v>
      </c>
      <c r="B131" s="76">
        <v>1226</v>
      </c>
      <c r="C131" s="77">
        <v>202448</v>
      </c>
    </row>
    <row r="132" spans="1:3">
      <c r="A132" s="97">
        <v>39784</v>
      </c>
      <c r="B132" s="76">
        <v>1165</v>
      </c>
      <c r="C132" s="77">
        <v>217400</v>
      </c>
    </row>
    <row r="133" spans="1:3">
      <c r="A133" s="97">
        <v>39785</v>
      </c>
      <c r="B133" s="76">
        <v>1953</v>
      </c>
      <c r="C133" s="77">
        <v>231618</v>
      </c>
    </row>
    <row r="134" spans="1:3">
      <c r="A134" s="97">
        <v>39786</v>
      </c>
      <c r="B134" s="76">
        <v>2220</v>
      </c>
      <c r="C134" s="77">
        <v>236673</v>
      </c>
    </row>
    <row r="135" spans="1:3">
      <c r="A135" s="97">
        <v>39787</v>
      </c>
      <c r="B135" s="76">
        <v>1955</v>
      </c>
      <c r="C135" s="77">
        <v>250498</v>
      </c>
    </row>
    <row r="136" spans="1:3">
      <c r="A136" s="97">
        <v>39790</v>
      </c>
      <c r="B136" s="76">
        <v>1783</v>
      </c>
      <c r="C136" s="77">
        <v>243885</v>
      </c>
    </row>
    <row r="137" spans="1:3" ht="13.5" thickBot="1">
      <c r="A137" s="97">
        <v>39791</v>
      </c>
      <c r="B137" s="76">
        <v>4562</v>
      </c>
      <c r="C137" s="77">
        <v>123023</v>
      </c>
    </row>
    <row r="138" spans="1:3" ht="13.5" thickTop="1">
      <c r="A138" s="101">
        <v>39792</v>
      </c>
      <c r="B138" s="84">
        <v>6867</v>
      </c>
      <c r="C138" s="85">
        <v>101164</v>
      </c>
    </row>
    <row r="139" spans="1:3">
      <c r="A139" s="97">
        <v>39793</v>
      </c>
      <c r="B139" s="76">
        <v>3280</v>
      </c>
      <c r="C139" s="77">
        <v>130457</v>
      </c>
    </row>
    <row r="140" spans="1:3">
      <c r="A140" s="97">
        <v>39794</v>
      </c>
      <c r="B140" s="76">
        <v>2670</v>
      </c>
      <c r="C140" s="77">
        <v>159162</v>
      </c>
    </row>
    <row r="141" spans="1:3">
      <c r="A141" s="97">
        <v>39797</v>
      </c>
      <c r="B141" s="76">
        <v>3348</v>
      </c>
      <c r="C141" s="77">
        <v>178390</v>
      </c>
    </row>
    <row r="142" spans="1:3">
      <c r="A142" s="97">
        <v>39798</v>
      </c>
      <c r="B142" s="76">
        <v>3545</v>
      </c>
      <c r="C142" s="77">
        <v>197346</v>
      </c>
    </row>
    <row r="143" spans="1:3">
      <c r="A143" s="97">
        <v>39799</v>
      </c>
      <c r="B143" s="76">
        <v>3444</v>
      </c>
      <c r="C143" s="77">
        <v>200379</v>
      </c>
    </row>
    <row r="144" spans="1:3">
      <c r="A144" s="97">
        <v>39800</v>
      </c>
      <c r="B144" s="76">
        <v>3936</v>
      </c>
      <c r="C144" s="77">
        <v>206073</v>
      </c>
    </row>
    <row r="145" spans="1:3">
      <c r="A145" s="97">
        <v>39801</v>
      </c>
      <c r="B145" s="76">
        <v>2190</v>
      </c>
      <c r="C145" s="77">
        <v>230668</v>
      </c>
    </row>
    <row r="146" spans="1:3">
      <c r="A146" s="97">
        <v>39804</v>
      </c>
      <c r="B146" s="76">
        <v>1690</v>
      </c>
      <c r="C146" s="77">
        <v>215691</v>
      </c>
    </row>
    <row r="147" spans="1:3">
      <c r="A147" s="97">
        <v>39805</v>
      </c>
      <c r="B147" s="76">
        <v>1914</v>
      </c>
      <c r="C147" s="77">
        <v>216149</v>
      </c>
    </row>
    <row r="148" spans="1:3">
      <c r="A148" s="97">
        <v>39806</v>
      </c>
      <c r="B148" s="76">
        <v>1820</v>
      </c>
      <c r="C148" s="77">
        <v>229786</v>
      </c>
    </row>
    <row r="149" spans="1:3">
      <c r="A149" s="97">
        <v>39811</v>
      </c>
      <c r="B149" s="76">
        <v>2143</v>
      </c>
      <c r="C149" s="77">
        <v>237008</v>
      </c>
    </row>
    <row r="150" spans="1:3">
      <c r="A150" s="97">
        <v>39812</v>
      </c>
      <c r="B150" s="76">
        <v>1402</v>
      </c>
      <c r="C150" s="77">
        <v>250082</v>
      </c>
    </row>
    <row r="151" spans="1:3">
      <c r="A151" s="97">
        <v>39813</v>
      </c>
      <c r="B151" s="76">
        <v>4058</v>
      </c>
      <c r="C151" s="77">
        <v>203601</v>
      </c>
    </row>
    <row r="152" spans="1:3">
      <c r="A152" s="97">
        <v>39815</v>
      </c>
      <c r="B152" s="76">
        <v>941</v>
      </c>
      <c r="C152" s="77">
        <v>281671</v>
      </c>
    </row>
    <row r="153" spans="1:3">
      <c r="A153" s="97">
        <v>39818</v>
      </c>
      <c r="B153" s="76">
        <v>1034</v>
      </c>
      <c r="C153" s="77">
        <v>272065</v>
      </c>
    </row>
    <row r="154" spans="1:3">
      <c r="A154" s="97">
        <v>39819</v>
      </c>
      <c r="B154" s="76">
        <v>1057</v>
      </c>
      <c r="C154" s="77">
        <v>251157</v>
      </c>
    </row>
    <row r="155" spans="1:3">
      <c r="A155" s="97">
        <v>39820</v>
      </c>
      <c r="B155" s="76">
        <v>1032</v>
      </c>
      <c r="C155" s="77">
        <v>266684</v>
      </c>
    </row>
    <row r="156" spans="1:3">
      <c r="A156" s="97">
        <v>39821</v>
      </c>
      <c r="B156" s="76">
        <v>1837</v>
      </c>
      <c r="C156" s="77">
        <v>265526</v>
      </c>
    </row>
    <row r="157" spans="1:3">
      <c r="A157" s="97">
        <v>39822</v>
      </c>
      <c r="B157" s="76">
        <v>1460</v>
      </c>
      <c r="C157" s="77">
        <v>315254</v>
      </c>
    </row>
    <row r="158" spans="1:3">
      <c r="A158" s="97">
        <v>39825</v>
      </c>
      <c r="B158" s="76">
        <v>1609</v>
      </c>
      <c r="C158" s="77">
        <v>314313</v>
      </c>
    </row>
    <row r="159" spans="1:3">
      <c r="A159" s="98">
        <v>39826</v>
      </c>
      <c r="B159" s="76">
        <v>1755</v>
      </c>
      <c r="C159" s="77">
        <v>303106</v>
      </c>
    </row>
    <row r="160" spans="1:3">
      <c r="A160" s="98">
        <v>39827</v>
      </c>
      <c r="B160" s="76">
        <v>1424</v>
      </c>
      <c r="C160" s="77">
        <v>304733</v>
      </c>
    </row>
    <row r="161" spans="1:3">
      <c r="A161" s="98">
        <v>39828</v>
      </c>
      <c r="B161" s="76">
        <v>7336</v>
      </c>
      <c r="C161" s="77">
        <v>280208</v>
      </c>
    </row>
    <row r="162" spans="1:3">
      <c r="A162" s="98">
        <v>39829</v>
      </c>
      <c r="B162" s="76">
        <v>7107</v>
      </c>
      <c r="C162" s="77">
        <v>281391</v>
      </c>
    </row>
    <row r="163" spans="1:3">
      <c r="A163" s="98">
        <v>39832</v>
      </c>
      <c r="B163" s="76">
        <v>7186</v>
      </c>
      <c r="C163" s="77">
        <v>282902</v>
      </c>
    </row>
    <row r="164" spans="1:3" ht="13.5" thickBot="1">
      <c r="A164" s="98">
        <v>39833</v>
      </c>
      <c r="B164" s="86">
        <v>6590</v>
      </c>
      <c r="C164" s="83">
        <v>184129</v>
      </c>
    </row>
    <row r="165" spans="1:3" ht="13.5" thickTop="1">
      <c r="A165" s="99">
        <v>39834</v>
      </c>
      <c r="B165" s="80">
        <v>1616</v>
      </c>
      <c r="C165" s="81">
        <v>111424</v>
      </c>
    </row>
    <row r="166" spans="1:3">
      <c r="A166" s="97">
        <v>39835</v>
      </c>
      <c r="B166" s="76">
        <v>1720</v>
      </c>
      <c r="C166" s="77">
        <v>189114</v>
      </c>
    </row>
    <row r="167" spans="1:3">
      <c r="A167" s="97">
        <v>39836</v>
      </c>
      <c r="B167" s="76">
        <v>1575</v>
      </c>
      <c r="C167" s="77">
        <v>198676</v>
      </c>
    </row>
    <row r="168" spans="1:3">
      <c r="A168" s="97">
        <v>39839</v>
      </c>
      <c r="B168" s="76">
        <v>1480</v>
      </c>
      <c r="C168" s="77">
        <v>205154</v>
      </c>
    </row>
    <row r="169" spans="1:3">
      <c r="A169" s="97">
        <v>39840</v>
      </c>
      <c r="B169" s="76">
        <v>1469</v>
      </c>
      <c r="C169" s="77">
        <v>200855</v>
      </c>
    </row>
    <row r="170" spans="1:3">
      <c r="A170" s="97">
        <v>39841</v>
      </c>
      <c r="B170" s="76">
        <v>393</v>
      </c>
      <c r="C170" s="77">
        <v>189386</v>
      </c>
    </row>
    <row r="171" spans="1:3">
      <c r="A171" s="97">
        <v>39842</v>
      </c>
      <c r="B171" s="76">
        <v>1161</v>
      </c>
      <c r="C171" s="77">
        <v>140588</v>
      </c>
    </row>
    <row r="172" spans="1:3">
      <c r="A172" s="97">
        <v>39843</v>
      </c>
      <c r="B172" s="76">
        <v>4836</v>
      </c>
      <c r="C172" s="77">
        <v>164937</v>
      </c>
    </row>
    <row r="173" spans="1:3">
      <c r="A173" s="97">
        <v>39846</v>
      </c>
      <c r="B173" s="76">
        <v>3521</v>
      </c>
      <c r="C173" s="77">
        <v>175885</v>
      </c>
    </row>
    <row r="174" spans="1:3">
      <c r="A174" s="97">
        <v>39847</v>
      </c>
      <c r="B174" s="76">
        <v>4105</v>
      </c>
      <c r="C174" s="77">
        <v>177157</v>
      </c>
    </row>
    <row r="175" spans="1:3">
      <c r="A175" s="97">
        <v>39848</v>
      </c>
      <c r="B175" s="76">
        <v>260</v>
      </c>
      <c r="C175" s="77">
        <v>174879</v>
      </c>
    </row>
    <row r="176" spans="1:3">
      <c r="A176" s="97">
        <v>39849</v>
      </c>
      <c r="B176" s="76">
        <v>480</v>
      </c>
      <c r="C176" s="77">
        <v>184320</v>
      </c>
    </row>
    <row r="177" spans="1:3">
      <c r="A177" s="97">
        <v>39850</v>
      </c>
      <c r="B177" s="76">
        <v>795</v>
      </c>
      <c r="C177" s="77">
        <v>180690</v>
      </c>
    </row>
    <row r="178" spans="1:3">
      <c r="A178" s="97">
        <v>39853</v>
      </c>
      <c r="B178" s="76">
        <v>1670</v>
      </c>
      <c r="C178" s="77">
        <v>199040</v>
      </c>
    </row>
    <row r="179" spans="1:3">
      <c r="A179" s="98">
        <v>39854</v>
      </c>
      <c r="B179" s="78">
        <v>3697</v>
      </c>
      <c r="C179" s="79">
        <v>103545</v>
      </c>
    </row>
    <row r="180" spans="1:3">
      <c r="A180" s="98">
        <v>39855</v>
      </c>
      <c r="B180" s="78">
        <v>10405</v>
      </c>
      <c r="C180" s="79">
        <v>97760</v>
      </c>
    </row>
    <row r="181" spans="1:3">
      <c r="A181" s="97">
        <v>39856</v>
      </c>
      <c r="B181" s="78">
        <v>2507</v>
      </c>
      <c r="C181" s="79">
        <v>75199</v>
      </c>
    </row>
    <row r="182" spans="1:3">
      <c r="A182" s="97">
        <v>39857</v>
      </c>
      <c r="B182" s="78">
        <v>561</v>
      </c>
      <c r="C182" s="79">
        <v>75939</v>
      </c>
    </row>
    <row r="183" spans="1:3">
      <c r="A183" s="98">
        <v>39860</v>
      </c>
      <c r="B183" s="78">
        <v>540</v>
      </c>
      <c r="C183" s="79">
        <v>83438</v>
      </c>
    </row>
    <row r="184" spans="1:3">
      <c r="A184" s="98">
        <v>39861</v>
      </c>
      <c r="B184" s="78">
        <v>859</v>
      </c>
      <c r="C184" s="79">
        <v>82779</v>
      </c>
    </row>
    <row r="185" spans="1:3">
      <c r="A185" s="97">
        <v>39862</v>
      </c>
      <c r="B185" s="78">
        <v>381</v>
      </c>
      <c r="C185" s="79">
        <v>80535</v>
      </c>
    </row>
    <row r="186" spans="1:3">
      <c r="A186" s="98">
        <v>39863</v>
      </c>
      <c r="B186" s="78">
        <v>555</v>
      </c>
      <c r="C186" s="79">
        <v>75612</v>
      </c>
    </row>
    <row r="187" spans="1:3">
      <c r="A187" s="98">
        <v>39864</v>
      </c>
      <c r="B187" s="78">
        <v>1398</v>
      </c>
      <c r="C187" s="79">
        <v>80051</v>
      </c>
    </row>
    <row r="188" spans="1:3">
      <c r="A188" s="97">
        <v>39867</v>
      </c>
      <c r="B188" s="78">
        <v>3876</v>
      </c>
      <c r="C188" s="79">
        <v>89176</v>
      </c>
    </row>
    <row r="189" spans="1:3">
      <c r="A189" s="98">
        <v>39868</v>
      </c>
      <c r="B189" s="78">
        <v>3971</v>
      </c>
      <c r="C189" s="79">
        <v>86403</v>
      </c>
    </row>
    <row r="190" spans="1:3">
      <c r="A190" s="98">
        <v>39869</v>
      </c>
      <c r="B190" s="78">
        <v>3670</v>
      </c>
      <c r="C190" s="79">
        <v>83257</v>
      </c>
    </row>
    <row r="191" spans="1:3">
      <c r="A191" s="97">
        <v>39870</v>
      </c>
      <c r="B191" s="78">
        <v>629</v>
      </c>
      <c r="C191" s="79">
        <v>84226</v>
      </c>
    </row>
    <row r="192" spans="1:3">
      <c r="A192" s="98">
        <v>39871</v>
      </c>
      <c r="B192" s="78">
        <v>651</v>
      </c>
      <c r="C192" s="79">
        <v>104912</v>
      </c>
    </row>
    <row r="193" spans="1:3">
      <c r="A193" s="98">
        <v>39874</v>
      </c>
      <c r="B193" s="78">
        <v>964</v>
      </c>
      <c r="C193" s="79">
        <v>90984</v>
      </c>
    </row>
    <row r="194" spans="1:3">
      <c r="A194" s="98">
        <v>39875</v>
      </c>
      <c r="B194" s="78">
        <v>1313</v>
      </c>
      <c r="C194" s="79">
        <v>97600</v>
      </c>
    </row>
    <row r="195" spans="1:3">
      <c r="A195" s="97">
        <v>39876</v>
      </c>
      <c r="B195" s="78">
        <v>83</v>
      </c>
      <c r="C195" s="79">
        <v>102987</v>
      </c>
    </row>
    <row r="196" spans="1:3">
      <c r="A196" s="98">
        <v>39877</v>
      </c>
      <c r="B196" s="78">
        <v>809</v>
      </c>
      <c r="C196" s="79">
        <v>108378</v>
      </c>
    </row>
    <row r="197" spans="1:3" ht="12.2" customHeight="1">
      <c r="A197" s="98">
        <v>39878</v>
      </c>
      <c r="B197" s="78">
        <v>478</v>
      </c>
      <c r="C197" s="79">
        <v>135613</v>
      </c>
    </row>
    <row r="198" spans="1:3">
      <c r="A198" s="98">
        <v>39881</v>
      </c>
      <c r="B198" s="78">
        <v>1498</v>
      </c>
      <c r="C198" s="79">
        <v>157117</v>
      </c>
    </row>
    <row r="199" spans="1:3">
      <c r="A199" s="97">
        <v>39882</v>
      </c>
      <c r="B199" s="78">
        <v>2702</v>
      </c>
      <c r="C199" s="79">
        <v>88224</v>
      </c>
    </row>
    <row r="200" spans="1:3">
      <c r="A200" s="97">
        <v>39883</v>
      </c>
      <c r="B200" s="78">
        <v>1279</v>
      </c>
      <c r="C200" s="79">
        <v>56326</v>
      </c>
    </row>
    <row r="201" spans="1:3">
      <c r="A201" s="97">
        <v>39884</v>
      </c>
      <c r="B201" s="78">
        <v>442</v>
      </c>
      <c r="C201" s="79">
        <v>55255</v>
      </c>
    </row>
    <row r="202" spans="1:3">
      <c r="A202" s="97">
        <v>39885</v>
      </c>
      <c r="B202" s="78">
        <v>323</v>
      </c>
      <c r="C202" s="79">
        <v>61843</v>
      </c>
    </row>
    <row r="203" spans="1:3">
      <c r="A203" s="97">
        <v>39888</v>
      </c>
      <c r="B203" s="78">
        <v>156</v>
      </c>
      <c r="C203" s="79">
        <v>60553</v>
      </c>
    </row>
    <row r="204" spans="1:3">
      <c r="A204" s="97">
        <v>39889</v>
      </c>
      <c r="B204" s="78">
        <v>512</v>
      </c>
      <c r="C204" s="79">
        <v>56516</v>
      </c>
    </row>
    <row r="205" spans="1:3">
      <c r="A205" s="97">
        <v>39890</v>
      </c>
      <c r="B205" s="78">
        <v>916</v>
      </c>
      <c r="C205" s="79">
        <v>48512</v>
      </c>
    </row>
    <row r="206" spans="1:3">
      <c r="A206" s="97">
        <v>39891</v>
      </c>
      <c r="B206" s="78">
        <v>1630</v>
      </c>
      <c r="C206" s="79">
        <v>53759</v>
      </c>
    </row>
    <row r="207" spans="1:3">
      <c r="A207" s="97">
        <v>39892</v>
      </c>
      <c r="B207" s="78">
        <v>1193</v>
      </c>
      <c r="C207" s="79">
        <v>63915</v>
      </c>
    </row>
    <row r="208" spans="1:3">
      <c r="A208" s="97">
        <v>39895</v>
      </c>
      <c r="B208" s="78">
        <v>1408</v>
      </c>
      <c r="C208" s="79">
        <v>49648</v>
      </c>
    </row>
    <row r="209" spans="1:3">
      <c r="A209" s="97">
        <v>39896</v>
      </c>
      <c r="B209" s="78">
        <v>1754</v>
      </c>
      <c r="C209" s="79">
        <v>48196</v>
      </c>
    </row>
    <row r="210" spans="1:3">
      <c r="A210" s="97">
        <v>39897</v>
      </c>
      <c r="B210" s="78">
        <v>3586</v>
      </c>
      <c r="C210" s="79">
        <v>44465</v>
      </c>
    </row>
    <row r="211" spans="1:3">
      <c r="A211" s="97">
        <v>39898</v>
      </c>
      <c r="B211" s="78">
        <v>770</v>
      </c>
      <c r="C211" s="79">
        <v>47860</v>
      </c>
    </row>
    <row r="212" spans="1:3">
      <c r="A212" s="97">
        <v>39899</v>
      </c>
      <c r="B212" s="78">
        <v>1134</v>
      </c>
      <c r="C212" s="79">
        <v>45107</v>
      </c>
    </row>
    <row r="213" spans="1:3">
      <c r="A213" s="97">
        <v>39902</v>
      </c>
      <c r="B213" s="78">
        <v>1796</v>
      </c>
      <c r="C213" s="79">
        <v>54978</v>
      </c>
    </row>
    <row r="214" spans="1:3">
      <c r="A214" s="97">
        <v>39903</v>
      </c>
      <c r="B214" s="78">
        <v>837</v>
      </c>
      <c r="C214" s="79">
        <v>64380</v>
      </c>
    </row>
    <row r="215" spans="1:3">
      <c r="A215" s="97">
        <v>39904</v>
      </c>
      <c r="B215" s="78">
        <v>696</v>
      </c>
      <c r="C215" s="79">
        <v>45764</v>
      </c>
    </row>
    <row r="216" spans="1:3">
      <c r="A216" s="97">
        <v>39905</v>
      </c>
      <c r="B216" s="78">
        <v>582</v>
      </c>
      <c r="C216" s="79">
        <v>52644</v>
      </c>
    </row>
    <row r="217" spans="1:3">
      <c r="A217" s="97">
        <v>39906</v>
      </c>
      <c r="B217" s="78">
        <v>784</v>
      </c>
      <c r="C217" s="79">
        <v>78517</v>
      </c>
    </row>
    <row r="218" spans="1:3">
      <c r="A218" s="97">
        <v>39909</v>
      </c>
      <c r="B218" s="78">
        <v>73</v>
      </c>
      <c r="C218" s="79">
        <v>91541</v>
      </c>
    </row>
    <row r="219" spans="1:3">
      <c r="A219" s="97">
        <v>39910</v>
      </c>
      <c r="B219" s="78">
        <v>4814</v>
      </c>
      <c r="C219" s="79">
        <v>39011</v>
      </c>
    </row>
    <row r="220" spans="1:3">
      <c r="A220" s="97">
        <v>39911</v>
      </c>
      <c r="B220" s="78">
        <v>895</v>
      </c>
      <c r="C220" s="79">
        <v>22810</v>
      </c>
    </row>
    <row r="221" spans="1:3">
      <c r="A221" s="97">
        <v>39912</v>
      </c>
      <c r="B221" s="78">
        <v>1836</v>
      </c>
      <c r="C221" s="79">
        <v>21487</v>
      </c>
    </row>
    <row r="222" spans="1:3">
      <c r="A222" s="97">
        <v>39917</v>
      </c>
      <c r="B222" s="78">
        <v>940</v>
      </c>
      <c r="C222" s="79">
        <v>22945</v>
      </c>
    </row>
    <row r="223" spans="1:3">
      <c r="A223" s="97">
        <v>39918</v>
      </c>
      <c r="B223" s="78">
        <v>770</v>
      </c>
      <c r="C223" s="79">
        <v>20874</v>
      </c>
    </row>
    <row r="224" spans="1:3">
      <c r="A224" s="97">
        <v>39919</v>
      </c>
      <c r="B224" s="78">
        <v>561</v>
      </c>
      <c r="C224" s="79">
        <v>20481</v>
      </c>
    </row>
    <row r="225" spans="1:3">
      <c r="A225" s="97">
        <v>39920</v>
      </c>
      <c r="B225" s="78">
        <v>80</v>
      </c>
      <c r="C225" s="79">
        <v>21873</v>
      </c>
    </row>
    <row r="226" spans="1:3">
      <c r="A226" s="97">
        <v>39923</v>
      </c>
      <c r="B226" s="78">
        <v>135</v>
      </c>
      <c r="C226" s="79">
        <v>21829</v>
      </c>
    </row>
    <row r="227" spans="1:3">
      <c r="A227" s="97">
        <v>39924</v>
      </c>
      <c r="B227" s="78">
        <v>61</v>
      </c>
      <c r="C227" s="79">
        <v>19823</v>
      </c>
    </row>
    <row r="228" spans="1:3">
      <c r="A228" s="97">
        <v>39925</v>
      </c>
      <c r="B228" s="78">
        <v>78</v>
      </c>
      <c r="C228" s="79">
        <v>19839</v>
      </c>
    </row>
    <row r="229" spans="1:3">
      <c r="A229" s="97">
        <v>39926</v>
      </c>
      <c r="B229" s="78">
        <v>174</v>
      </c>
      <c r="C229" s="79">
        <v>22486</v>
      </c>
    </row>
    <row r="230" spans="1:3">
      <c r="A230" s="97">
        <v>39927</v>
      </c>
      <c r="B230" s="78">
        <v>108</v>
      </c>
      <c r="C230" s="79">
        <v>31069</v>
      </c>
    </row>
    <row r="231" spans="1:3">
      <c r="A231" s="97">
        <v>39930</v>
      </c>
      <c r="B231" s="78">
        <v>38</v>
      </c>
      <c r="C231" s="79">
        <v>48445</v>
      </c>
    </row>
    <row r="232" spans="1:3">
      <c r="A232" s="97">
        <v>39931</v>
      </c>
      <c r="B232" s="78">
        <v>107</v>
      </c>
      <c r="C232" s="79">
        <v>83981</v>
      </c>
    </row>
    <row r="233" spans="1:3">
      <c r="A233" s="97">
        <v>39932</v>
      </c>
      <c r="B233" s="78">
        <v>111</v>
      </c>
      <c r="C233" s="79">
        <v>70216</v>
      </c>
    </row>
    <row r="234" spans="1:3">
      <c r="A234" s="97">
        <v>39933</v>
      </c>
      <c r="B234" s="78">
        <v>2753</v>
      </c>
      <c r="C234" s="79">
        <v>67776</v>
      </c>
    </row>
    <row r="235" spans="1:3">
      <c r="A235" s="97">
        <v>39937</v>
      </c>
      <c r="B235" s="78">
        <v>552</v>
      </c>
      <c r="C235" s="79">
        <v>61395</v>
      </c>
    </row>
    <row r="236" spans="1:3">
      <c r="A236" s="97">
        <v>39938</v>
      </c>
      <c r="B236" s="78">
        <v>128</v>
      </c>
      <c r="C236" s="79">
        <v>53209</v>
      </c>
    </row>
    <row r="237" spans="1:3">
      <c r="A237" s="97">
        <v>39939</v>
      </c>
      <c r="B237" s="78">
        <v>26</v>
      </c>
      <c r="C237" s="79">
        <v>51306</v>
      </c>
    </row>
    <row r="238" spans="1:3">
      <c r="A238" s="97">
        <v>39940</v>
      </c>
      <c r="B238" s="78">
        <v>51</v>
      </c>
      <c r="C238" s="79">
        <v>64031</v>
      </c>
    </row>
    <row r="239" spans="1:3">
      <c r="A239" s="97">
        <v>39941</v>
      </c>
      <c r="B239" s="78">
        <v>24</v>
      </c>
      <c r="C239" s="79">
        <v>75319</v>
      </c>
    </row>
    <row r="240" spans="1:3">
      <c r="A240" s="97">
        <v>39944</v>
      </c>
      <c r="B240" s="78">
        <v>31</v>
      </c>
      <c r="C240" s="79">
        <v>88131</v>
      </c>
    </row>
    <row r="241" spans="1:3">
      <c r="A241" s="97">
        <v>39945</v>
      </c>
      <c r="B241" s="78">
        <v>207</v>
      </c>
      <c r="C241" s="79">
        <v>38637</v>
      </c>
    </row>
    <row r="242" spans="1:3">
      <c r="A242" s="102">
        <v>39946</v>
      </c>
      <c r="B242" s="87">
        <v>93</v>
      </c>
      <c r="C242" s="88">
        <v>26331</v>
      </c>
    </row>
    <row r="243" spans="1:3">
      <c r="A243" s="102">
        <v>39947</v>
      </c>
      <c r="B243" s="87">
        <v>63</v>
      </c>
      <c r="C243" s="88">
        <v>15921</v>
      </c>
    </row>
    <row r="244" spans="1:3">
      <c r="A244" s="102">
        <v>39948</v>
      </c>
      <c r="B244" s="87">
        <v>64</v>
      </c>
      <c r="C244" s="88">
        <v>21610</v>
      </c>
    </row>
    <row r="245" spans="1:3">
      <c r="A245" s="102">
        <v>39951</v>
      </c>
      <c r="B245" s="87">
        <v>63</v>
      </c>
      <c r="C245" s="88">
        <v>15798</v>
      </c>
    </row>
    <row r="246" spans="1:3">
      <c r="A246" s="102">
        <v>39952</v>
      </c>
      <c r="B246" s="87">
        <v>99</v>
      </c>
      <c r="C246" s="88">
        <v>15850</v>
      </c>
    </row>
    <row r="247" spans="1:3">
      <c r="A247" s="102">
        <v>39953</v>
      </c>
      <c r="B247" s="87">
        <v>60</v>
      </c>
      <c r="C247" s="88">
        <v>14985</v>
      </c>
    </row>
    <row r="248" spans="1:3">
      <c r="A248" s="102">
        <v>39954</v>
      </c>
      <c r="B248" s="87">
        <v>28</v>
      </c>
      <c r="C248" s="88">
        <v>14935</v>
      </c>
    </row>
    <row r="249" spans="1:3">
      <c r="A249" s="102">
        <v>39955</v>
      </c>
      <c r="B249" s="87">
        <v>50</v>
      </c>
      <c r="C249" s="88">
        <v>15569</v>
      </c>
    </row>
    <row r="250" spans="1:3">
      <c r="A250" s="102">
        <v>39958</v>
      </c>
      <c r="B250" s="87">
        <v>78</v>
      </c>
      <c r="C250" s="88">
        <v>14449</v>
      </c>
    </row>
    <row r="251" spans="1:3">
      <c r="A251" s="102">
        <v>39959</v>
      </c>
      <c r="B251" s="87">
        <v>70</v>
      </c>
      <c r="C251" s="88">
        <v>11963</v>
      </c>
    </row>
    <row r="252" spans="1:3">
      <c r="A252" s="102">
        <v>39960</v>
      </c>
      <c r="B252" s="87">
        <v>79</v>
      </c>
      <c r="C252" s="88">
        <v>22987</v>
      </c>
    </row>
    <row r="253" spans="1:3">
      <c r="A253" s="102">
        <v>39961</v>
      </c>
      <c r="B253" s="87">
        <v>97</v>
      </c>
      <c r="C253" s="88">
        <v>25454</v>
      </c>
    </row>
    <row r="254" spans="1:3">
      <c r="A254" s="102">
        <v>39962</v>
      </c>
      <c r="B254" s="87">
        <v>197</v>
      </c>
      <c r="C254" s="88">
        <v>23017</v>
      </c>
    </row>
    <row r="255" spans="1:3">
      <c r="A255" s="102">
        <v>39965</v>
      </c>
      <c r="B255" s="87">
        <v>133</v>
      </c>
      <c r="C255" s="88">
        <v>15063</v>
      </c>
    </row>
    <row r="256" spans="1:3">
      <c r="A256" s="102">
        <v>39966</v>
      </c>
      <c r="B256" s="87">
        <v>87</v>
      </c>
      <c r="C256" s="88">
        <v>22871</v>
      </c>
    </row>
    <row r="257" spans="1:3">
      <c r="A257" s="102">
        <v>39967</v>
      </c>
      <c r="B257" s="87">
        <v>4597</v>
      </c>
      <c r="C257" s="88">
        <v>17398</v>
      </c>
    </row>
    <row r="258" spans="1:3">
      <c r="A258" s="102">
        <v>39968</v>
      </c>
      <c r="B258" s="87">
        <v>3871</v>
      </c>
      <c r="C258" s="88">
        <v>19830</v>
      </c>
    </row>
    <row r="259" spans="1:3">
      <c r="A259" s="102">
        <v>39969</v>
      </c>
      <c r="B259" s="87">
        <v>1739</v>
      </c>
      <c r="C259" s="88">
        <v>28840</v>
      </c>
    </row>
    <row r="260" spans="1:3">
      <c r="A260" s="102">
        <v>39972</v>
      </c>
      <c r="B260" s="87">
        <v>1920</v>
      </c>
      <c r="C260" s="88">
        <v>44653</v>
      </c>
    </row>
    <row r="261" spans="1:3">
      <c r="A261" s="102">
        <v>39973</v>
      </c>
      <c r="B261" s="87">
        <v>1740</v>
      </c>
      <c r="C261" s="88">
        <v>59832</v>
      </c>
    </row>
    <row r="262" spans="1:3">
      <c r="A262" s="102">
        <v>39974</v>
      </c>
      <c r="B262" s="87">
        <v>259</v>
      </c>
      <c r="C262" s="88">
        <v>10426</v>
      </c>
    </row>
    <row r="263" spans="1:3">
      <c r="A263" s="102">
        <v>39975</v>
      </c>
      <c r="B263" s="87">
        <v>793</v>
      </c>
      <c r="C263" s="88">
        <v>7666</v>
      </c>
    </row>
    <row r="264" spans="1:3">
      <c r="A264" s="102">
        <v>39976</v>
      </c>
      <c r="B264" s="87">
        <v>241</v>
      </c>
      <c r="C264" s="88">
        <v>11333</v>
      </c>
    </row>
    <row r="265" spans="1:3">
      <c r="A265" s="102">
        <v>39979</v>
      </c>
      <c r="B265" s="87">
        <v>162</v>
      </c>
      <c r="C265" s="88">
        <v>10745</v>
      </c>
    </row>
    <row r="266" spans="1:3">
      <c r="A266" s="102">
        <v>39980</v>
      </c>
      <c r="B266" s="87">
        <v>361</v>
      </c>
      <c r="C266" s="88">
        <v>10851</v>
      </c>
    </row>
    <row r="267" spans="1:3">
      <c r="A267" s="102">
        <v>39981</v>
      </c>
      <c r="B267" s="87">
        <v>529</v>
      </c>
      <c r="C267" s="88">
        <v>11289</v>
      </c>
    </row>
    <row r="268" spans="1:3">
      <c r="A268" s="102">
        <v>39982</v>
      </c>
      <c r="B268" s="87">
        <v>452</v>
      </c>
      <c r="C268" s="88">
        <v>10743</v>
      </c>
    </row>
    <row r="269" spans="1:3">
      <c r="A269" s="102">
        <v>39983</v>
      </c>
      <c r="B269" s="87">
        <v>549</v>
      </c>
      <c r="C269" s="88">
        <v>12719</v>
      </c>
    </row>
    <row r="270" spans="1:3">
      <c r="A270" s="102">
        <v>39986</v>
      </c>
      <c r="B270" s="87">
        <v>554</v>
      </c>
      <c r="C270" s="88">
        <v>12555</v>
      </c>
    </row>
    <row r="271" spans="1:3">
      <c r="A271" s="102">
        <v>39987</v>
      </c>
      <c r="B271" s="87">
        <v>286</v>
      </c>
      <c r="C271" s="88">
        <v>10797</v>
      </c>
    </row>
    <row r="272" spans="1:3">
      <c r="A272" s="102">
        <v>39988</v>
      </c>
      <c r="B272" s="87">
        <v>28707</v>
      </c>
      <c r="C272" s="88">
        <v>7420</v>
      </c>
    </row>
    <row r="273" spans="1:3">
      <c r="A273" s="102">
        <v>39989</v>
      </c>
      <c r="B273" s="87">
        <v>284</v>
      </c>
      <c r="C273" s="88">
        <v>143426</v>
      </c>
    </row>
    <row r="274" spans="1:3">
      <c r="A274" s="102">
        <v>39990</v>
      </c>
      <c r="B274" s="87">
        <v>327</v>
      </c>
      <c r="C274" s="88">
        <v>236236</v>
      </c>
    </row>
    <row r="275" spans="1:3">
      <c r="A275" s="102">
        <v>39993</v>
      </c>
      <c r="B275" s="87">
        <v>289</v>
      </c>
      <c r="C275" s="88">
        <v>242178</v>
      </c>
    </row>
    <row r="276" spans="1:3">
      <c r="A276" s="102">
        <v>39994</v>
      </c>
      <c r="B276" s="87">
        <v>443</v>
      </c>
      <c r="C276" s="88">
        <v>252067</v>
      </c>
    </row>
    <row r="277" spans="1:3">
      <c r="A277" s="102">
        <v>39995</v>
      </c>
      <c r="B277" s="87">
        <v>277</v>
      </c>
      <c r="C277" s="88">
        <v>257071</v>
      </c>
    </row>
    <row r="278" spans="1:3">
      <c r="A278" s="102">
        <v>39996</v>
      </c>
      <c r="B278" s="87">
        <v>52</v>
      </c>
      <c r="C278" s="88">
        <v>287734</v>
      </c>
    </row>
    <row r="279" spans="1:3">
      <c r="A279" s="102">
        <v>39997</v>
      </c>
      <c r="B279" s="87">
        <v>58</v>
      </c>
      <c r="C279" s="88">
        <v>315956</v>
      </c>
    </row>
    <row r="280" spans="1:3">
      <c r="A280" s="102">
        <v>40000</v>
      </c>
      <c r="B280" s="87">
        <v>49</v>
      </c>
      <c r="C280" s="88">
        <v>277698</v>
      </c>
    </row>
    <row r="281" spans="1:3">
      <c r="A281" s="102">
        <v>40001</v>
      </c>
      <c r="B281" s="87">
        <v>46</v>
      </c>
      <c r="C281" s="88">
        <v>70690</v>
      </c>
    </row>
    <row r="282" spans="1:3">
      <c r="A282" s="102">
        <v>40002</v>
      </c>
      <c r="B282" s="87">
        <v>103</v>
      </c>
      <c r="C282" s="88">
        <v>133433</v>
      </c>
    </row>
    <row r="283" spans="1:3">
      <c r="A283" s="102">
        <v>40003</v>
      </c>
      <c r="B283" s="87">
        <v>91</v>
      </c>
      <c r="C283" s="88">
        <v>125239</v>
      </c>
    </row>
    <row r="284" spans="1:3">
      <c r="A284" s="102">
        <v>40004</v>
      </c>
      <c r="B284" s="87">
        <v>135</v>
      </c>
      <c r="C284" s="88">
        <v>155533</v>
      </c>
    </row>
    <row r="285" spans="1:3">
      <c r="A285" s="102">
        <v>40007</v>
      </c>
      <c r="B285" s="87">
        <v>4656</v>
      </c>
      <c r="C285" s="88">
        <v>164087</v>
      </c>
    </row>
    <row r="286" spans="1:3">
      <c r="A286" s="102">
        <v>40008</v>
      </c>
      <c r="B286" s="87">
        <v>81</v>
      </c>
      <c r="C286" s="88">
        <v>162722</v>
      </c>
    </row>
    <row r="287" spans="1:3">
      <c r="A287" s="102">
        <v>40009</v>
      </c>
      <c r="B287" s="87">
        <v>99</v>
      </c>
      <c r="C287" s="88">
        <v>171170</v>
      </c>
    </row>
    <row r="288" spans="1:3">
      <c r="A288" s="102">
        <v>40010</v>
      </c>
      <c r="B288" s="87">
        <v>94</v>
      </c>
      <c r="C288" s="88">
        <v>156615</v>
      </c>
    </row>
    <row r="289" spans="1:3">
      <c r="A289" s="102">
        <v>40011</v>
      </c>
      <c r="B289" s="87">
        <v>94</v>
      </c>
      <c r="C289" s="88">
        <v>189874</v>
      </c>
    </row>
    <row r="290" spans="1:3">
      <c r="A290" s="102">
        <v>40014</v>
      </c>
      <c r="B290" s="87">
        <v>94</v>
      </c>
      <c r="C290" s="88">
        <v>188407</v>
      </c>
    </row>
    <row r="291" spans="1:3">
      <c r="A291" s="102">
        <v>40015</v>
      </c>
      <c r="B291" s="87">
        <v>94</v>
      </c>
      <c r="C291" s="88">
        <v>177457</v>
      </c>
    </row>
    <row r="292" spans="1:3">
      <c r="A292" s="102">
        <v>40016</v>
      </c>
      <c r="B292" s="87">
        <v>152</v>
      </c>
      <c r="C292" s="88">
        <v>178631</v>
      </c>
    </row>
    <row r="293" spans="1:3">
      <c r="A293" s="102">
        <v>40017</v>
      </c>
      <c r="B293" s="87">
        <v>118</v>
      </c>
      <c r="C293" s="88">
        <v>192833</v>
      </c>
    </row>
    <row r="294" spans="1:3">
      <c r="A294" s="102">
        <v>40018</v>
      </c>
      <c r="B294" s="87">
        <v>96</v>
      </c>
      <c r="C294" s="88">
        <v>195315</v>
      </c>
    </row>
    <row r="295" spans="1:3">
      <c r="A295" s="102">
        <v>40021</v>
      </c>
      <c r="B295" s="87">
        <v>131</v>
      </c>
      <c r="C295" s="88">
        <v>170046</v>
      </c>
    </row>
    <row r="296" spans="1:3">
      <c r="A296" s="102">
        <v>40022</v>
      </c>
      <c r="B296" s="87">
        <v>744</v>
      </c>
      <c r="C296" s="88">
        <v>192649</v>
      </c>
    </row>
    <row r="297" spans="1:3">
      <c r="A297" s="102">
        <v>40023</v>
      </c>
      <c r="B297" s="87">
        <v>98</v>
      </c>
      <c r="C297" s="88">
        <v>194077</v>
      </c>
    </row>
    <row r="298" spans="1:3">
      <c r="A298" s="102">
        <v>40024</v>
      </c>
      <c r="B298" s="87">
        <v>114</v>
      </c>
      <c r="C298" s="88">
        <v>203227</v>
      </c>
    </row>
    <row r="299" spans="1:3">
      <c r="A299" s="102">
        <v>40025</v>
      </c>
      <c r="B299" s="87">
        <v>151</v>
      </c>
      <c r="C299" s="88">
        <v>208737</v>
      </c>
    </row>
    <row r="300" spans="1:3">
      <c r="A300" s="102">
        <v>40028</v>
      </c>
      <c r="B300" s="87">
        <v>80</v>
      </c>
      <c r="C300" s="88">
        <v>199276</v>
      </c>
    </row>
    <row r="301" spans="1:3">
      <c r="A301" s="102">
        <v>40029</v>
      </c>
      <c r="B301" s="87">
        <v>68</v>
      </c>
      <c r="C301" s="88">
        <v>226799</v>
      </c>
    </row>
    <row r="302" spans="1:3">
      <c r="A302" s="102">
        <v>40030</v>
      </c>
      <c r="B302" s="87">
        <v>85</v>
      </c>
      <c r="C302" s="88">
        <v>225892</v>
      </c>
    </row>
    <row r="303" spans="1:3">
      <c r="A303" s="102">
        <v>40031</v>
      </c>
      <c r="B303" s="87">
        <v>98</v>
      </c>
      <c r="C303" s="88">
        <v>226144</v>
      </c>
    </row>
    <row r="304" spans="1:3">
      <c r="A304" s="102">
        <v>40032</v>
      </c>
      <c r="B304" s="87">
        <v>95</v>
      </c>
      <c r="C304" s="88">
        <v>222024</v>
      </c>
    </row>
    <row r="305" spans="1:3">
      <c r="A305" s="102">
        <v>40035</v>
      </c>
      <c r="B305" s="87">
        <v>772</v>
      </c>
      <c r="C305" s="88">
        <v>228344</v>
      </c>
    </row>
    <row r="306" spans="1:3">
      <c r="A306" s="102">
        <v>40036</v>
      </c>
      <c r="B306" s="87">
        <v>1845</v>
      </c>
      <c r="C306" s="88">
        <v>48587</v>
      </c>
    </row>
    <row r="307" spans="1:3">
      <c r="A307" s="102">
        <v>40037</v>
      </c>
      <c r="B307" s="87">
        <v>244</v>
      </c>
      <c r="C307" s="88">
        <v>124174</v>
      </c>
    </row>
    <row r="308" spans="1:3">
      <c r="A308" s="102">
        <f>A307+1</f>
        <v>40038</v>
      </c>
      <c r="B308" s="87">
        <v>78</v>
      </c>
      <c r="C308" s="88">
        <v>118913</v>
      </c>
    </row>
    <row r="309" spans="1:3">
      <c r="A309" s="102">
        <f>A308+1</f>
        <v>40039</v>
      </c>
      <c r="B309" s="87">
        <v>207</v>
      </c>
      <c r="C309" s="88">
        <v>110812</v>
      </c>
    </row>
    <row r="310" spans="1:3">
      <c r="A310" s="102">
        <v>40042</v>
      </c>
      <c r="B310" s="87">
        <v>95</v>
      </c>
      <c r="C310" s="88">
        <v>120116</v>
      </c>
    </row>
    <row r="311" spans="1:3">
      <c r="A311" s="102">
        <v>40043</v>
      </c>
      <c r="B311" s="87">
        <v>1117</v>
      </c>
      <c r="C311" s="88">
        <v>134872</v>
      </c>
    </row>
    <row r="312" spans="1:3">
      <c r="A312" s="102">
        <v>40044</v>
      </c>
      <c r="B312" s="87">
        <v>57</v>
      </c>
      <c r="C312" s="88">
        <v>144911</v>
      </c>
    </row>
    <row r="313" spans="1:3">
      <c r="A313" s="102">
        <v>40045</v>
      </c>
      <c r="B313" s="87">
        <v>98</v>
      </c>
      <c r="C313" s="88">
        <v>159101</v>
      </c>
    </row>
    <row r="314" spans="1:3">
      <c r="A314" s="102">
        <v>40046</v>
      </c>
      <c r="B314" s="87">
        <v>62</v>
      </c>
      <c r="C314" s="88">
        <v>160185</v>
      </c>
    </row>
    <row r="315" spans="1:3">
      <c r="A315" s="102">
        <v>40049</v>
      </c>
      <c r="B315" s="87">
        <v>80</v>
      </c>
      <c r="C315" s="88">
        <v>152592</v>
      </c>
    </row>
    <row r="316" spans="1:3">
      <c r="A316" s="102">
        <v>40050</v>
      </c>
      <c r="B316" s="87">
        <v>88</v>
      </c>
      <c r="C316" s="88">
        <v>160166</v>
      </c>
    </row>
    <row r="317" spans="1:3">
      <c r="A317" s="102">
        <v>40051</v>
      </c>
      <c r="B317" s="87">
        <v>1051</v>
      </c>
      <c r="C317" s="88">
        <v>162001</v>
      </c>
    </row>
    <row r="318" spans="1:3">
      <c r="A318" s="102">
        <v>40052</v>
      </c>
      <c r="B318" s="87">
        <v>131</v>
      </c>
      <c r="C318" s="88">
        <v>142500</v>
      </c>
    </row>
    <row r="319" spans="1:3">
      <c r="A319" s="102">
        <v>40053</v>
      </c>
      <c r="B319" s="87">
        <v>108</v>
      </c>
      <c r="C319" s="88">
        <v>142577</v>
      </c>
    </row>
    <row r="320" spans="1:3">
      <c r="A320" s="102">
        <v>40056</v>
      </c>
      <c r="B320" s="87">
        <v>115</v>
      </c>
      <c r="C320" s="88">
        <v>145042</v>
      </c>
    </row>
    <row r="321" spans="1:3">
      <c r="A321" s="102">
        <v>40057</v>
      </c>
      <c r="B321" s="87">
        <v>118</v>
      </c>
      <c r="C321" s="88">
        <v>142265</v>
      </c>
    </row>
    <row r="322" spans="1:3">
      <c r="A322" s="102">
        <v>40058</v>
      </c>
      <c r="B322" s="87">
        <v>83</v>
      </c>
      <c r="C322" s="88">
        <v>130364</v>
      </c>
    </row>
    <row r="323" spans="1:3">
      <c r="A323" s="102">
        <v>40059</v>
      </c>
      <c r="B323" s="87">
        <v>105</v>
      </c>
      <c r="C323" s="88">
        <v>135305</v>
      </c>
    </row>
    <row r="324" spans="1:3">
      <c r="A324" s="102">
        <v>40060</v>
      </c>
      <c r="B324" s="87">
        <v>73</v>
      </c>
      <c r="C324" s="88">
        <v>140108</v>
      </c>
    </row>
    <row r="325" spans="1:3">
      <c r="A325" s="102">
        <v>40063</v>
      </c>
      <c r="B325" s="87">
        <v>86</v>
      </c>
      <c r="C325" s="88">
        <v>163829</v>
      </c>
    </row>
    <row r="326" spans="1:3">
      <c r="A326" s="102">
        <v>40064</v>
      </c>
      <c r="B326" s="87">
        <v>2226</v>
      </c>
      <c r="C326" s="88">
        <v>30501</v>
      </c>
    </row>
    <row r="327" spans="1:3">
      <c r="A327" s="102">
        <v>40065</v>
      </c>
      <c r="B327" s="87">
        <v>549</v>
      </c>
      <c r="C327" s="88">
        <v>76499</v>
      </c>
    </row>
    <row r="328" spans="1:3">
      <c r="A328" s="102">
        <v>40066</v>
      </c>
      <c r="B328" s="87">
        <v>87</v>
      </c>
      <c r="C328" s="88">
        <v>82054</v>
      </c>
    </row>
    <row r="329" spans="1:3">
      <c r="A329" s="102">
        <v>40067</v>
      </c>
      <c r="B329" s="87">
        <v>84</v>
      </c>
      <c r="C329" s="88">
        <v>88815</v>
      </c>
    </row>
    <row r="330" spans="1:3">
      <c r="A330" s="102">
        <v>40070</v>
      </c>
      <c r="B330" s="87">
        <v>108</v>
      </c>
      <c r="C330" s="88">
        <v>82872</v>
      </c>
    </row>
    <row r="331" spans="1:3">
      <c r="A331" s="102">
        <v>40071</v>
      </c>
      <c r="B331" s="87">
        <v>104</v>
      </c>
      <c r="C331" s="88">
        <v>80087</v>
      </c>
    </row>
    <row r="332" spans="1:3">
      <c r="A332" s="102">
        <v>40072</v>
      </c>
      <c r="B332" s="87">
        <v>152</v>
      </c>
      <c r="C332" s="88">
        <v>82703</v>
      </c>
    </row>
    <row r="333" spans="1:3">
      <c r="A333" s="102">
        <v>40073</v>
      </c>
      <c r="B333" s="87">
        <v>110</v>
      </c>
      <c r="C333" s="88">
        <v>80330</v>
      </c>
    </row>
    <row r="334" spans="1:3">
      <c r="A334" s="102">
        <v>40074</v>
      </c>
      <c r="B334" s="87">
        <v>148</v>
      </c>
      <c r="C334" s="88">
        <v>88997</v>
      </c>
    </row>
    <row r="335" spans="1:3">
      <c r="A335" s="102">
        <v>40077</v>
      </c>
      <c r="B335" s="87">
        <v>139</v>
      </c>
      <c r="C335" s="88">
        <v>85931</v>
      </c>
    </row>
    <row r="336" spans="1:3">
      <c r="A336" s="102">
        <v>40078</v>
      </c>
      <c r="B336" s="87">
        <v>154</v>
      </c>
      <c r="C336" s="88">
        <v>85880</v>
      </c>
    </row>
    <row r="337" spans="1:3">
      <c r="A337" s="102">
        <v>40079</v>
      </c>
      <c r="B337" s="87">
        <v>130</v>
      </c>
      <c r="C337" s="88">
        <v>84918</v>
      </c>
    </row>
    <row r="338" spans="1:3">
      <c r="A338" s="102">
        <v>40080</v>
      </c>
      <c r="B338" s="87">
        <v>119</v>
      </c>
      <c r="C338" s="88">
        <v>89925</v>
      </c>
    </row>
    <row r="339" spans="1:3">
      <c r="A339" s="102">
        <v>40081</v>
      </c>
      <c r="B339" s="87">
        <v>141</v>
      </c>
      <c r="C339" s="88">
        <v>116751</v>
      </c>
    </row>
    <row r="340" spans="1:3">
      <c r="A340" s="102">
        <v>40084</v>
      </c>
      <c r="B340" s="87">
        <v>172</v>
      </c>
      <c r="C340" s="88">
        <v>110999</v>
      </c>
    </row>
    <row r="341" spans="1:3">
      <c r="A341" s="102">
        <v>40085</v>
      </c>
      <c r="B341" s="87">
        <v>182</v>
      </c>
      <c r="C341" s="88">
        <v>108713</v>
      </c>
    </row>
    <row r="342" spans="1:3">
      <c r="A342" s="102">
        <v>40086</v>
      </c>
      <c r="B342" s="87">
        <v>4885</v>
      </c>
      <c r="C342" s="88">
        <v>74385</v>
      </c>
    </row>
    <row r="343" spans="1:3">
      <c r="A343" s="102">
        <v>40087</v>
      </c>
      <c r="B343" s="87">
        <v>60</v>
      </c>
      <c r="C343" s="88">
        <v>116248</v>
      </c>
    </row>
    <row r="344" spans="1:3">
      <c r="A344" s="102">
        <v>40088</v>
      </c>
      <c r="B344" s="87">
        <v>91</v>
      </c>
      <c r="C344" s="88">
        <v>150594</v>
      </c>
    </row>
    <row r="345" spans="1:3">
      <c r="A345" s="102">
        <v>40091</v>
      </c>
      <c r="B345" s="87">
        <v>628</v>
      </c>
      <c r="C345" s="88">
        <v>153670</v>
      </c>
    </row>
    <row r="346" spans="1:3">
      <c r="A346" s="102">
        <v>40092</v>
      </c>
      <c r="B346" s="87">
        <v>816</v>
      </c>
      <c r="C346" s="88">
        <v>167192</v>
      </c>
    </row>
    <row r="347" spans="1:3">
      <c r="A347" s="102">
        <v>40093</v>
      </c>
      <c r="B347" s="87">
        <v>96</v>
      </c>
      <c r="C347" s="88">
        <v>171524</v>
      </c>
    </row>
    <row r="348" spans="1:3">
      <c r="A348" s="102">
        <v>40094</v>
      </c>
      <c r="B348" s="87">
        <v>79</v>
      </c>
      <c r="C348" s="88">
        <v>141011</v>
      </c>
    </row>
    <row r="349" spans="1:3">
      <c r="A349" s="102">
        <v>40095</v>
      </c>
      <c r="B349" s="87">
        <v>85</v>
      </c>
      <c r="C349" s="88">
        <v>144788</v>
      </c>
    </row>
    <row r="350" spans="1:3">
      <c r="A350" s="102">
        <v>40098</v>
      </c>
      <c r="B350" s="87">
        <v>206</v>
      </c>
      <c r="C350" s="88">
        <v>147218</v>
      </c>
    </row>
    <row r="351" spans="1:3">
      <c r="A351" s="102">
        <v>40099</v>
      </c>
      <c r="B351" s="87">
        <v>297</v>
      </c>
      <c r="C351" s="88">
        <v>43655</v>
      </c>
    </row>
    <row r="352" spans="1:3">
      <c r="A352" s="102">
        <v>40100</v>
      </c>
      <c r="B352" s="87">
        <v>119</v>
      </c>
      <c r="C352" s="88">
        <v>59701</v>
      </c>
    </row>
    <row r="353" spans="1:3">
      <c r="A353" s="102">
        <v>40101</v>
      </c>
      <c r="B353" s="87">
        <v>92</v>
      </c>
      <c r="C353" s="88">
        <v>59727</v>
      </c>
    </row>
    <row r="354" spans="1:3">
      <c r="A354" s="102">
        <v>40102</v>
      </c>
      <c r="B354" s="87">
        <v>95</v>
      </c>
      <c r="C354" s="88">
        <v>67996</v>
      </c>
    </row>
    <row r="355" spans="1:3">
      <c r="A355" s="102">
        <v>40105</v>
      </c>
      <c r="B355" s="87">
        <v>429</v>
      </c>
      <c r="C355" s="88">
        <v>75512</v>
      </c>
    </row>
    <row r="356" spans="1:3">
      <c r="A356" s="102">
        <v>40106</v>
      </c>
      <c r="B356" s="87">
        <v>86</v>
      </c>
      <c r="C356" s="88">
        <v>79950</v>
      </c>
    </row>
    <row r="357" spans="1:3">
      <c r="A357" s="102">
        <v>40107</v>
      </c>
      <c r="B357" s="87">
        <v>1505</v>
      </c>
      <c r="C357" s="88">
        <v>71900</v>
      </c>
    </row>
    <row r="358" spans="1:3">
      <c r="A358" s="102">
        <v>40108</v>
      </c>
      <c r="B358" s="87">
        <v>213</v>
      </c>
      <c r="C358" s="88">
        <v>75600</v>
      </c>
    </row>
    <row r="359" spans="1:3">
      <c r="A359" s="102">
        <v>40109</v>
      </c>
      <c r="B359" s="87">
        <v>78</v>
      </c>
      <c r="C359" s="88">
        <v>80696</v>
      </c>
    </row>
    <row r="360" spans="1:3">
      <c r="A360" s="102">
        <v>40112</v>
      </c>
      <c r="B360" s="87">
        <v>90</v>
      </c>
      <c r="C360" s="88">
        <v>88465</v>
      </c>
    </row>
    <row r="361" spans="1:3">
      <c r="A361" s="102">
        <v>40113</v>
      </c>
      <c r="B361" s="87">
        <v>89</v>
      </c>
      <c r="C361" s="88">
        <v>89431</v>
      </c>
    </row>
    <row r="362" spans="1:3">
      <c r="A362" s="102">
        <v>40114</v>
      </c>
      <c r="B362" s="87">
        <v>92</v>
      </c>
      <c r="C362" s="88">
        <v>88890</v>
      </c>
    </row>
    <row r="363" spans="1:3">
      <c r="A363" s="102">
        <v>40115</v>
      </c>
      <c r="B363" s="87">
        <v>119</v>
      </c>
      <c r="C363" s="88">
        <v>81884</v>
      </c>
    </row>
    <row r="364" spans="1:3">
      <c r="A364" s="102">
        <v>40116</v>
      </c>
      <c r="B364" s="87">
        <v>138</v>
      </c>
      <c r="C364" s="88">
        <v>87835</v>
      </c>
    </row>
    <row r="365" spans="1:3">
      <c r="A365" s="102">
        <v>40119</v>
      </c>
      <c r="B365" s="87">
        <v>277</v>
      </c>
      <c r="C365" s="88">
        <v>96203</v>
      </c>
    </row>
    <row r="366" spans="1:3">
      <c r="A366" s="102">
        <v>40120</v>
      </c>
      <c r="B366" s="87">
        <v>114</v>
      </c>
      <c r="C366" s="88">
        <v>91243</v>
      </c>
    </row>
    <row r="367" spans="1:3">
      <c r="A367" s="102">
        <v>40121</v>
      </c>
      <c r="B367" s="87">
        <v>150</v>
      </c>
      <c r="C367" s="88">
        <v>91529</v>
      </c>
    </row>
    <row r="368" spans="1:3">
      <c r="A368" s="102">
        <v>40122</v>
      </c>
      <c r="B368" s="87">
        <v>181</v>
      </c>
      <c r="C368" s="88">
        <v>105202</v>
      </c>
    </row>
    <row r="369" spans="1:3">
      <c r="A369" s="102">
        <v>40123</v>
      </c>
      <c r="B369" s="87">
        <v>104</v>
      </c>
      <c r="C369" s="88">
        <v>128913</v>
      </c>
    </row>
    <row r="370" spans="1:3">
      <c r="A370" s="102">
        <v>40126</v>
      </c>
      <c r="B370" s="87">
        <v>113</v>
      </c>
      <c r="C370" s="88">
        <v>152301</v>
      </c>
    </row>
    <row r="371" spans="1:3">
      <c r="A371" s="102">
        <v>40127</v>
      </c>
      <c r="B371" s="87">
        <v>3403</v>
      </c>
      <c r="C371" s="88">
        <v>16536</v>
      </c>
    </row>
    <row r="372" spans="1:3">
      <c r="A372" s="102">
        <v>40128</v>
      </c>
      <c r="B372" s="87">
        <v>89</v>
      </c>
      <c r="C372" s="88">
        <v>44758</v>
      </c>
    </row>
    <row r="373" spans="1:3">
      <c r="A373" s="102">
        <v>40129</v>
      </c>
      <c r="B373" s="87">
        <v>2282</v>
      </c>
      <c r="C373" s="88">
        <v>42413</v>
      </c>
    </row>
    <row r="374" spans="1:3">
      <c r="A374" s="102">
        <v>40130</v>
      </c>
      <c r="B374" s="87">
        <v>2522</v>
      </c>
      <c r="C374" s="88">
        <v>54289</v>
      </c>
    </row>
    <row r="375" spans="1:3">
      <c r="A375" s="102">
        <v>40133</v>
      </c>
      <c r="B375" s="87">
        <v>174</v>
      </c>
      <c r="C375" s="88">
        <v>58222</v>
      </c>
    </row>
    <row r="376" spans="1:3">
      <c r="A376" s="102">
        <v>40134</v>
      </c>
      <c r="B376" s="87">
        <v>183</v>
      </c>
      <c r="C376" s="88">
        <v>57295</v>
      </c>
    </row>
    <row r="377" spans="1:3">
      <c r="A377" s="102">
        <v>40135</v>
      </c>
      <c r="B377" s="87">
        <v>758</v>
      </c>
      <c r="C377" s="88">
        <v>55095</v>
      </c>
    </row>
    <row r="378" spans="1:3">
      <c r="A378" s="102">
        <v>40136</v>
      </c>
      <c r="B378" s="87">
        <v>914</v>
      </c>
      <c r="C378" s="88">
        <v>51582</v>
      </c>
    </row>
    <row r="379" spans="1:3">
      <c r="A379" s="102">
        <v>40137</v>
      </c>
      <c r="B379" s="87">
        <v>773</v>
      </c>
      <c r="C379" s="88">
        <v>46067</v>
      </c>
    </row>
    <row r="380" spans="1:3">
      <c r="A380" s="102">
        <v>40140</v>
      </c>
      <c r="B380" s="87">
        <v>964</v>
      </c>
      <c r="C380" s="88">
        <v>51564</v>
      </c>
    </row>
    <row r="381" spans="1:3">
      <c r="A381" s="102">
        <v>40141</v>
      </c>
      <c r="B381" s="87">
        <v>1049</v>
      </c>
      <c r="C381" s="88">
        <v>42837</v>
      </c>
    </row>
    <row r="382" spans="1:3">
      <c r="A382" s="102">
        <v>40142</v>
      </c>
      <c r="B382" s="87">
        <v>33</v>
      </c>
      <c r="C382" s="88">
        <v>48928</v>
      </c>
    </row>
    <row r="383" spans="1:3">
      <c r="A383" s="102">
        <v>40143</v>
      </c>
      <c r="B383" s="87">
        <v>399</v>
      </c>
      <c r="C383" s="88">
        <v>56203</v>
      </c>
    </row>
    <row r="384" spans="1:3">
      <c r="A384" s="102">
        <v>40144</v>
      </c>
      <c r="B384" s="87">
        <v>75</v>
      </c>
      <c r="C384" s="88">
        <v>68499</v>
      </c>
    </row>
    <row r="385" spans="1:3">
      <c r="A385" s="102">
        <v>40147</v>
      </c>
      <c r="B385" s="87">
        <v>101</v>
      </c>
      <c r="C385" s="88">
        <v>70504</v>
      </c>
    </row>
    <row r="386" spans="1:3">
      <c r="A386" s="102">
        <v>40148</v>
      </c>
      <c r="B386" s="87">
        <v>147</v>
      </c>
      <c r="C386" s="88">
        <v>82324</v>
      </c>
    </row>
    <row r="387" spans="1:3">
      <c r="A387" s="102">
        <v>40149</v>
      </c>
      <c r="B387" s="87">
        <v>115</v>
      </c>
      <c r="C387" s="88">
        <v>101953</v>
      </c>
    </row>
    <row r="388" spans="1:3">
      <c r="A388" s="102">
        <v>40150</v>
      </c>
      <c r="B388" s="87">
        <v>272</v>
      </c>
      <c r="C388" s="88">
        <v>97589</v>
      </c>
    </row>
    <row r="389" spans="1:3">
      <c r="A389" s="102">
        <v>40151</v>
      </c>
      <c r="B389" s="87">
        <v>138</v>
      </c>
      <c r="C389" s="88">
        <v>123361</v>
      </c>
    </row>
    <row r="390" spans="1:3">
      <c r="A390" s="102">
        <v>40154</v>
      </c>
      <c r="B390" s="87">
        <v>129</v>
      </c>
      <c r="C390" s="88">
        <v>37912</v>
      </c>
    </row>
    <row r="391" spans="1:3">
      <c r="A391" s="102">
        <v>40155</v>
      </c>
      <c r="B391" s="87">
        <v>62</v>
      </c>
      <c r="C391" s="88">
        <v>38189</v>
      </c>
    </row>
    <row r="392" spans="1:3">
      <c r="A392" s="102">
        <v>40156</v>
      </c>
      <c r="B392" s="87">
        <v>63</v>
      </c>
      <c r="C392" s="88">
        <v>38490</v>
      </c>
    </row>
    <row r="393" spans="1:3">
      <c r="A393" s="102">
        <v>40157</v>
      </c>
      <c r="B393" s="87">
        <v>82</v>
      </c>
      <c r="C393" s="88">
        <v>31829</v>
      </c>
    </row>
    <row r="394" spans="1:3">
      <c r="A394" s="102">
        <v>40158</v>
      </c>
      <c r="B394" s="87">
        <v>238</v>
      </c>
      <c r="C394" s="88">
        <v>32093</v>
      </c>
    </row>
    <row r="395" spans="1:3">
      <c r="A395" s="102">
        <v>40161</v>
      </c>
      <c r="B395" s="87">
        <v>63</v>
      </c>
      <c r="C395" s="88">
        <v>38191</v>
      </c>
    </row>
    <row r="396" spans="1:3">
      <c r="A396" s="102">
        <v>40162</v>
      </c>
      <c r="B396" s="87">
        <v>92</v>
      </c>
      <c r="C396" s="88">
        <v>39072</v>
      </c>
    </row>
    <row r="397" spans="1:3">
      <c r="A397" s="102">
        <v>40163</v>
      </c>
      <c r="B397" s="87">
        <v>1050</v>
      </c>
      <c r="C397" s="88">
        <v>50150</v>
      </c>
    </row>
    <row r="398" spans="1:3">
      <c r="A398" s="102">
        <v>40164</v>
      </c>
      <c r="B398" s="87">
        <v>78</v>
      </c>
      <c r="C398" s="88">
        <v>84004</v>
      </c>
    </row>
    <row r="399" spans="1:3">
      <c r="A399" s="102">
        <v>40165</v>
      </c>
      <c r="B399" s="87">
        <v>45</v>
      </c>
      <c r="C399" s="88">
        <v>136479</v>
      </c>
    </row>
    <row r="400" spans="1:3">
      <c r="A400" s="102">
        <v>40168</v>
      </c>
      <c r="B400" s="87">
        <v>116</v>
      </c>
      <c r="C400" s="88">
        <v>138403</v>
      </c>
    </row>
    <row r="401" spans="1:3">
      <c r="A401" s="102">
        <v>40169</v>
      </c>
      <c r="B401" s="87">
        <v>3784</v>
      </c>
      <c r="C401" s="88">
        <v>139832</v>
      </c>
    </row>
    <row r="402" spans="1:3">
      <c r="A402" s="102">
        <v>40170</v>
      </c>
      <c r="B402" s="87">
        <v>40</v>
      </c>
      <c r="C402" s="88">
        <v>151320</v>
      </c>
    </row>
    <row r="403" spans="1:3">
      <c r="A403" s="102">
        <v>40171</v>
      </c>
      <c r="B403" s="87">
        <v>40</v>
      </c>
      <c r="C403" s="88">
        <v>164089</v>
      </c>
    </row>
    <row r="404" spans="1:3">
      <c r="A404" s="102">
        <v>40175</v>
      </c>
      <c r="B404" s="87">
        <v>44</v>
      </c>
      <c r="C404" s="88">
        <v>162774</v>
      </c>
    </row>
    <row r="405" spans="1:3">
      <c r="A405" s="102">
        <v>40176</v>
      </c>
      <c r="B405" s="87">
        <v>45</v>
      </c>
      <c r="C405" s="88">
        <v>163273</v>
      </c>
    </row>
    <row r="406" spans="1:3">
      <c r="A406" s="102">
        <v>40177</v>
      </c>
      <c r="B406" s="87">
        <v>41</v>
      </c>
      <c r="C406" s="88">
        <v>173692</v>
      </c>
    </row>
    <row r="407" spans="1:3">
      <c r="A407" s="102">
        <v>40178</v>
      </c>
      <c r="B407" s="87">
        <v>1290</v>
      </c>
      <c r="C407" s="88">
        <v>162117</v>
      </c>
    </row>
    <row r="408" spans="1:3">
      <c r="A408" s="102">
        <v>40182</v>
      </c>
      <c r="B408" s="87">
        <v>57</v>
      </c>
      <c r="C408" s="88">
        <v>168760</v>
      </c>
    </row>
    <row r="409" spans="1:3">
      <c r="A409" s="102">
        <v>40183</v>
      </c>
      <c r="B409" s="87">
        <v>46</v>
      </c>
      <c r="C409" s="88">
        <v>175174</v>
      </c>
    </row>
    <row r="410" spans="1:3">
      <c r="A410" s="102">
        <v>40184</v>
      </c>
      <c r="B410" s="87">
        <v>72</v>
      </c>
      <c r="C410" s="88">
        <v>176135</v>
      </c>
    </row>
    <row r="411" spans="1:3">
      <c r="A411" s="102">
        <f>A410+1</f>
        <v>40185</v>
      </c>
      <c r="B411" s="87">
        <v>138</v>
      </c>
      <c r="C411" s="88">
        <v>181435</v>
      </c>
    </row>
    <row r="412" spans="1:3">
      <c r="A412" s="102">
        <f>A411+1</f>
        <v>40186</v>
      </c>
      <c r="B412" s="87">
        <v>46</v>
      </c>
      <c r="C412" s="88">
        <v>227141</v>
      </c>
    </row>
    <row r="413" spans="1:3">
      <c r="A413" s="102">
        <v>40189</v>
      </c>
      <c r="B413" s="87">
        <v>50</v>
      </c>
      <c r="C413" s="88">
        <v>211743</v>
      </c>
    </row>
    <row r="414" spans="1:3">
      <c r="A414" s="102">
        <v>40190</v>
      </c>
      <c r="B414" s="87">
        <v>45</v>
      </c>
      <c r="C414" s="88">
        <v>227612</v>
      </c>
    </row>
    <row r="415" spans="1:3">
      <c r="A415" s="102">
        <v>40191</v>
      </c>
      <c r="B415" s="87">
        <v>48</v>
      </c>
      <c r="C415" s="88">
        <v>248874</v>
      </c>
    </row>
    <row r="416" spans="1:3">
      <c r="A416" s="102">
        <v>40192</v>
      </c>
      <c r="B416" s="87">
        <v>49</v>
      </c>
      <c r="C416" s="88">
        <v>217447</v>
      </c>
    </row>
    <row r="417" spans="1:3">
      <c r="A417" s="102">
        <v>40193</v>
      </c>
      <c r="B417" s="87">
        <v>46</v>
      </c>
      <c r="C417" s="88">
        <v>232147</v>
      </c>
    </row>
    <row r="418" spans="1:3">
      <c r="A418" s="102">
        <v>40196</v>
      </c>
      <c r="B418" s="87">
        <v>58</v>
      </c>
      <c r="C418" s="88">
        <v>231439</v>
      </c>
    </row>
    <row r="419" spans="1:3">
      <c r="A419" s="102">
        <v>40197</v>
      </c>
      <c r="B419" s="87">
        <v>5227</v>
      </c>
      <c r="C419" s="88">
        <v>42909</v>
      </c>
    </row>
    <row r="420" spans="1:3">
      <c r="A420" s="102">
        <v>40198</v>
      </c>
      <c r="B420" s="87">
        <v>346</v>
      </c>
      <c r="C420" s="88">
        <v>108824</v>
      </c>
    </row>
    <row r="421" spans="1:3">
      <c r="A421" s="102">
        <v>40199</v>
      </c>
      <c r="B421" s="87">
        <v>64</v>
      </c>
      <c r="C421" s="88">
        <v>112060</v>
      </c>
    </row>
    <row r="422" spans="1:3">
      <c r="A422" s="102">
        <v>40200</v>
      </c>
      <c r="B422" s="87">
        <v>83</v>
      </c>
      <c r="C422" s="88">
        <v>143074</v>
      </c>
    </row>
    <row r="423" spans="1:3">
      <c r="A423" s="102">
        <v>40203</v>
      </c>
      <c r="B423" s="87">
        <v>69</v>
      </c>
      <c r="C423" s="88">
        <v>145376</v>
      </c>
    </row>
    <row r="424" spans="1:3">
      <c r="A424" s="102">
        <v>40204</v>
      </c>
      <c r="B424" s="87">
        <v>72</v>
      </c>
      <c r="C424" s="88">
        <v>138953</v>
      </c>
    </row>
    <row r="425" spans="1:3">
      <c r="A425" s="102">
        <v>40205</v>
      </c>
      <c r="B425" s="87">
        <v>541</v>
      </c>
      <c r="C425" s="88">
        <v>158878</v>
      </c>
    </row>
    <row r="426" spans="1:3">
      <c r="A426" s="102">
        <v>40206</v>
      </c>
      <c r="B426" s="87">
        <v>81</v>
      </c>
      <c r="C426" s="88">
        <v>164795</v>
      </c>
    </row>
    <row r="427" spans="1:3">
      <c r="A427" s="102">
        <v>40207</v>
      </c>
      <c r="B427" s="87">
        <v>88</v>
      </c>
      <c r="C427" s="88">
        <v>165261</v>
      </c>
    </row>
    <row r="428" spans="1:3">
      <c r="A428" s="102">
        <v>40210</v>
      </c>
      <c r="B428" s="87">
        <v>56</v>
      </c>
      <c r="C428" s="88">
        <v>191474</v>
      </c>
    </row>
    <row r="429" spans="1:3">
      <c r="A429" s="102">
        <v>40211</v>
      </c>
      <c r="B429" s="87">
        <v>58</v>
      </c>
      <c r="C429" s="88">
        <v>202456</v>
      </c>
    </row>
    <row r="430" spans="1:3">
      <c r="A430" s="102">
        <v>40212</v>
      </c>
      <c r="B430" s="87">
        <v>48</v>
      </c>
      <c r="C430" s="88">
        <v>210273</v>
      </c>
    </row>
    <row r="431" spans="1:3">
      <c r="A431" s="102">
        <v>40213</v>
      </c>
      <c r="B431" s="87">
        <v>48</v>
      </c>
      <c r="C431" s="88">
        <v>217706</v>
      </c>
    </row>
    <row r="432" spans="1:3">
      <c r="A432" s="102">
        <v>40214</v>
      </c>
      <c r="B432" s="87">
        <v>51</v>
      </c>
      <c r="C432" s="88">
        <v>229364</v>
      </c>
    </row>
    <row r="433" spans="1:3">
      <c r="A433" s="102">
        <v>40217</v>
      </c>
      <c r="B433" s="87">
        <v>51</v>
      </c>
      <c r="C433" s="88">
        <v>243711</v>
      </c>
    </row>
    <row r="434" spans="1:3">
      <c r="A434" s="102">
        <v>40218</v>
      </c>
      <c r="B434" s="87">
        <v>2233</v>
      </c>
      <c r="C434" s="88">
        <v>29908</v>
      </c>
    </row>
    <row r="435" spans="1:3">
      <c r="A435" s="102">
        <v>40219</v>
      </c>
      <c r="B435" s="87">
        <v>79</v>
      </c>
      <c r="C435" s="88">
        <v>114173</v>
      </c>
    </row>
    <row r="436" spans="1:3">
      <c r="A436" s="102">
        <v>40220</v>
      </c>
      <c r="B436" s="87">
        <v>4102</v>
      </c>
      <c r="C436" s="88">
        <v>106587</v>
      </c>
    </row>
    <row r="437" spans="1:3">
      <c r="A437" s="102">
        <v>40221</v>
      </c>
      <c r="B437" s="87">
        <v>3877</v>
      </c>
      <c r="C437" s="88">
        <v>150113</v>
      </c>
    </row>
    <row r="438" spans="1:3">
      <c r="A438" s="102">
        <v>40224</v>
      </c>
      <c r="B438" s="87">
        <v>3828</v>
      </c>
      <c r="C438" s="88">
        <v>149724</v>
      </c>
    </row>
    <row r="439" spans="1:3">
      <c r="A439" s="102">
        <v>40225</v>
      </c>
      <c r="B439" s="87">
        <v>3828</v>
      </c>
      <c r="C439" s="88">
        <v>149724</v>
      </c>
    </row>
    <row r="440" spans="1:3">
      <c r="A440" s="102">
        <v>40226</v>
      </c>
      <c r="B440" s="87">
        <v>3488</v>
      </c>
      <c r="C440" s="88">
        <v>146036</v>
      </c>
    </row>
    <row r="441" spans="1:3">
      <c r="A441" s="102">
        <v>40227</v>
      </c>
      <c r="B441" s="87">
        <v>52</v>
      </c>
      <c r="C441" s="88">
        <v>156482</v>
      </c>
    </row>
    <row r="442" spans="1:3">
      <c r="A442" s="102">
        <v>40228</v>
      </c>
      <c r="B442" s="87">
        <v>56</v>
      </c>
      <c r="C442" s="88">
        <v>178934</v>
      </c>
    </row>
    <row r="443" spans="1:3">
      <c r="A443" s="102">
        <v>40229</v>
      </c>
      <c r="B443" s="87">
        <v>61</v>
      </c>
      <c r="C443" s="88">
        <v>186977</v>
      </c>
    </row>
    <row r="444" spans="1:3">
      <c r="A444" s="102">
        <v>40232</v>
      </c>
      <c r="B444" s="87">
        <v>84</v>
      </c>
      <c r="C444" s="88">
        <v>177595</v>
      </c>
    </row>
    <row r="445" spans="1:3">
      <c r="A445" s="102">
        <v>40233</v>
      </c>
      <c r="B445" s="87">
        <v>77</v>
      </c>
      <c r="C445" s="88">
        <v>186103</v>
      </c>
    </row>
    <row r="446" spans="1:3">
      <c r="A446" s="102">
        <v>40234</v>
      </c>
      <c r="B446" s="87">
        <v>104</v>
      </c>
      <c r="C446" s="88">
        <v>190885</v>
      </c>
    </row>
    <row r="447" spans="1:3">
      <c r="A447" s="102">
        <v>40235</v>
      </c>
      <c r="B447" s="87">
        <v>178</v>
      </c>
      <c r="C447" s="88">
        <v>200770</v>
      </c>
    </row>
    <row r="448" spans="1:3">
      <c r="A448" s="102">
        <v>40238</v>
      </c>
      <c r="B448" s="87">
        <v>235</v>
      </c>
      <c r="C448" s="88">
        <v>217292</v>
      </c>
    </row>
    <row r="449" spans="1:3">
      <c r="A449" s="102">
        <v>40239</v>
      </c>
      <c r="B449" s="87">
        <v>246</v>
      </c>
      <c r="C449" s="88">
        <v>236470</v>
      </c>
    </row>
    <row r="450" spans="1:3">
      <c r="A450" s="102">
        <v>40240</v>
      </c>
      <c r="B450" s="87">
        <v>246</v>
      </c>
      <c r="C450" s="88">
        <v>236470</v>
      </c>
    </row>
    <row r="451" spans="1:3">
      <c r="A451" s="102">
        <v>40241</v>
      </c>
      <c r="B451" s="87">
        <v>82</v>
      </c>
      <c r="C451" s="88">
        <v>241774</v>
      </c>
    </row>
    <row r="452" spans="1:3">
      <c r="A452" s="102">
        <v>40242</v>
      </c>
      <c r="B452" s="87">
        <v>55</v>
      </c>
      <c r="C452" s="88">
        <v>246718</v>
      </c>
    </row>
    <row r="453" spans="1:3">
      <c r="A453" s="102">
        <v>40243</v>
      </c>
      <c r="B453" s="87">
        <v>59</v>
      </c>
      <c r="C453" s="88">
        <v>259759</v>
      </c>
    </row>
    <row r="454" spans="1:3">
      <c r="A454" s="102">
        <v>40246</v>
      </c>
      <c r="B454" s="87">
        <v>70</v>
      </c>
      <c r="C454" s="88">
        <v>245483</v>
      </c>
    </row>
    <row r="455" spans="1:3">
      <c r="A455" s="102">
        <v>40247</v>
      </c>
      <c r="B455" s="87">
        <v>67</v>
      </c>
      <c r="C455" s="88">
        <v>33867</v>
      </c>
    </row>
    <row r="456" spans="1:3">
      <c r="A456" s="102">
        <v>40248</v>
      </c>
      <c r="B456" s="87">
        <v>1303</v>
      </c>
      <c r="C456" s="88">
        <v>116960</v>
      </c>
    </row>
    <row r="457" spans="1:3">
      <c r="A457" s="102">
        <v>40249</v>
      </c>
      <c r="B457" s="87">
        <v>108</v>
      </c>
      <c r="C457" s="88">
        <v>160313</v>
      </c>
    </row>
    <row r="458" spans="1:3">
      <c r="A458" s="102">
        <v>40252</v>
      </c>
      <c r="B458" s="87">
        <v>147</v>
      </c>
      <c r="C458" s="88">
        <v>172308</v>
      </c>
    </row>
    <row r="459" spans="1:3">
      <c r="A459" s="102">
        <v>40253</v>
      </c>
      <c r="B459" s="87">
        <v>125</v>
      </c>
      <c r="C459" s="88">
        <v>172320</v>
      </c>
    </row>
    <row r="460" spans="1:3">
      <c r="A460" s="102">
        <v>40254</v>
      </c>
      <c r="B460" s="87">
        <v>54</v>
      </c>
      <c r="C460" s="88">
        <v>162805</v>
      </c>
    </row>
    <row r="461" spans="1:3">
      <c r="A461" s="102">
        <v>40255</v>
      </c>
      <c r="B461" s="87">
        <v>52</v>
      </c>
      <c r="C461" s="88">
        <v>196014</v>
      </c>
    </row>
    <row r="462" spans="1:3">
      <c r="A462" s="102">
        <v>40256</v>
      </c>
      <c r="B462" s="87">
        <v>52</v>
      </c>
      <c r="C462" s="88">
        <v>195139</v>
      </c>
    </row>
    <row r="463" spans="1:3">
      <c r="A463" s="102">
        <v>40259</v>
      </c>
      <c r="B463" s="87">
        <v>52</v>
      </c>
      <c r="C463" s="88">
        <v>187838</v>
      </c>
    </row>
    <row r="464" spans="1:3">
      <c r="A464" s="102">
        <v>40260</v>
      </c>
      <c r="B464" s="87">
        <v>2097</v>
      </c>
      <c r="C464" s="88">
        <v>197126</v>
      </c>
    </row>
    <row r="465" spans="1:3">
      <c r="A465" s="102">
        <v>40261</v>
      </c>
      <c r="B465" s="87">
        <v>430</v>
      </c>
      <c r="C465" s="88">
        <v>208103</v>
      </c>
    </row>
    <row r="466" spans="1:3">
      <c r="A466" s="102">
        <v>40262</v>
      </c>
      <c r="B466" s="87">
        <v>62</v>
      </c>
      <c r="C466" s="88">
        <v>207308</v>
      </c>
    </row>
    <row r="467" spans="1:3">
      <c r="A467" s="102">
        <v>40263</v>
      </c>
      <c r="B467" s="87">
        <v>1</v>
      </c>
      <c r="C467" s="88">
        <v>213936</v>
      </c>
    </row>
    <row r="468" spans="1:3">
      <c r="A468" s="102">
        <v>40266</v>
      </c>
      <c r="B468" s="87">
        <v>15</v>
      </c>
      <c r="C468" s="88">
        <v>212162</v>
      </c>
    </row>
    <row r="469" spans="1:3">
      <c r="A469" s="102">
        <v>40267</v>
      </c>
      <c r="B469" s="87">
        <v>39</v>
      </c>
      <c r="C469" s="88">
        <v>207952</v>
      </c>
    </row>
    <row r="470" spans="1:3">
      <c r="A470" s="102">
        <v>40268</v>
      </c>
      <c r="B470" s="87">
        <v>2053</v>
      </c>
      <c r="C470" s="88">
        <v>180284</v>
      </c>
    </row>
    <row r="471" spans="1:3">
      <c r="A471" s="102">
        <v>40269</v>
      </c>
      <c r="B471" s="87">
        <v>69</v>
      </c>
      <c r="C471" s="88">
        <v>242659</v>
      </c>
    </row>
    <row r="472" spans="1:3">
      <c r="A472" s="102">
        <v>40270</v>
      </c>
      <c r="B472" s="87">
        <v>61</v>
      </c>
      <c r="C472" s="88">
        <v>254701</v>
      </c>
    </row>
    <row r="473" spans="1:3">
      <c r="A473" s="102">
        <v>40275</v>
      </c>
      <c r="B473" s="87">
        <v>106</v>
      </c>
      <c r="C473" s="88">
        <v>234551</v>
      </c>
    </row>
    <row r="474" spans="1:3">
      <c r="A474" s="102">
        <v>40276</v>
      </c>
      <c r="B474" s="87">
        <v>33</v>
      </c>
      <c r="C474" s="88">
        <v>234142</v>
      </c>
    </row>
    <row r="475" spans="1:3">
      <c r="A475" s="102">
        <v>40277</v>
      </c>
      <c r="B475" s="87">
        <v>1</v>
      </c>
      <c r="C475" s="88">
        <v>249292</v>
      </c>
    </row>
    <row r="476" spans="1:3">
      <c r="A476" s="102">
        <v>40278</v>
      </c>
      <c r="B476" s="87">
        <v>498</v>
      </c>
      <c r="C476" s="88">
        <v>257710</v>
      </c>
    </row>
    <row r="477" spans="1:3">
      <c r="A477" s="102">
        <v>40281</v>
      </c>
      <c r="B477" s="87">
        <v>1180</v>
      </c>
      <c r="C477" s="88">
        <v>50875</v>
      </c>
    </row>
    <row r="478" spans="1:3">
      <c r="A478" s="102">
        <v>40282</v>
      </c>
      <c r="B478" s="87">
        <v>98</v>
      </c>
      <c r="C478" s="88">
        <v>113660</v>
      </c>
    </row>
    <row r="479" spans="1:3">
      <c r="A479" s="102">
        <v>40283</v>
      </c>
      <c r="B479" s="87">
        <v>70</v>
      </c>
      <c r="C479" s="88">
        <v>132661</v>
      </c>
    </row>
    <row r="480" spans="1:3">
      <c r="A480" s="102">
        <v>40284</v>
      </c>
      <c r="B480" s="87">
        <v>1</v>
      </c>
      <c r="C480" s="88">
        <v>171115</v>
      </c>
    </row>
    <row r="481" spans="1:3">
      <c r="A481" s="102">
        <v>40287</v>
      </c>
      <c r="B481" s="87">
        <v>3</v>
      </c>
      <c r="C481" s="88">
        <v>181469</v>
      </c>
    </row>
    <row r="482" spans="1:3">
      <c r="A482" s="102">
        <v>40288</v>
      </c>
      <c r="B482" s="87">
        <v>16</v>
      </c>
      <c r="C482" s="88">
        <v>175446</v>
      </c>
    </row>
    <row r="483" spans="1:3">
      <c r="A483" s="102">
        <v>40289</v>
      </c>
      <c r="B483" s="87">
        <v>130</v>
      </c>
      <c r="C483" s="88">
        <v>185147</v>
      </c>
    </row>
    <row r="484" spans="1:3">
      <c r="A484" s="102">
        <v>40290</v>
      </c>
      <c r="B484" s="87">
        <v>1</v>
      </c>
      <c r="C484" s="88">
        <v>186741</v>
      </c>
    </row>
    <row r="485" spans="1:3">
      <c r="A485" s="102">
        <v>40291</v>
      </c>
      <c r="B485" s="87">
        <v>2</v>
      </c>
      <c r="C485" s="88">
        <v>217364</v>
      </c>
    </row>
    <row r="486" spans="1:3">
      <c r="A486" s="102">
        <v>40294</v>
      </c>
      <c r="B486" s="87">
        <v>781</v>
      </c>
      <c r="C486" s="88">
        <v>209733</v>
      </c>
    </row>
    <row r="487" spans="1:3">
      <c r="A487" s="102">
        <v>40295</v>
      </c>
      <c r="B487" s="87">
        <v>42</v>
      </c>
      <c r="C487" s="88">
        <v>229501</v>
      </c>
    </row>
    <row r="488" spans="1:3">
      <c r="A488" s="102">
        <v>40296</v>
      </c>
      <c r="B488" s="87">
        <v>272</v>
      </c>
      <c r="C488" s="88">
        <v>221743</v>
      </c>
    </row>
    <row r="489" spans="1:3">
      <c r="A489" s="102">
        <v>40297</v>
      </c>
      <c r="B489" s="87">
        <v>20</v>
      </c>
      <c r="C489" s="88">
        <v>233373</v>
      </c>
    </row>
    <row r="490" spans="1:3">
      <c r="A490" s="102">
        <v>40298</v>
      </c>
      <c r="B490" s="87">
        <v>754</v>
      </c>
      <c r="C490" s="88">
        <v>240120</v>
      </c>
    </row>
    <row r="491" spans="1:3">
      <c r="A491" s="102">
        <v>40301</v>
      </c>
      <c r="B491" s="87">
        <v>2629</v>
      </c>
      <c r="C491" s="88">
        <v>267250</v>
      </c>
    </row>
    <row r="492" spans="1:3">
      <c r="A492" s="102">
        <v>40302</v>
      </c>
      <c r="B492" s="87">
        <v>2409</v>
      </c>
      <c r="C492" s="88">
        <v>268670</v>
      </c>
    </row>
    <row r="493" spans="1:3">
      <c r="A493" s="102">
        <v>40303</v>
      </c>
      <c r="B493" s="87">
        <v>1304</v>
      </c>
      <c r="C493" s="88">
        <v>288019</v>
      </c>
    </row>
    <row r="494" spans="1:3">
      <c r="A494" s="102">
        <v>40304</v>
      </c>
      <c r="B494" s="87">
        <v>1205</v>
      </c>
      <c r="C494" s="88">
        <v>290009</v>
      </c>
    </row>
    <row r="495" spans="1:3">
      <c r="A495" s="102">
        <v>40305</v>
      </c>
      <c r="B495" s="87">
        <v>2382</v>
      </c>
      <c r="C495" s="88">
        <v>282014</v>
      </c>
    </row>
    <row r="496" spans="1:3">
      <c r="A496" s="102">
        <v>40308</v>
      </c>
      <c r="B496" s="87">
        <v>3825</v>
      </c>
      <c r="C496" s="88">
        <v>314792</v>
      </c>
    </row>
    <row r="497" spans="1:3">
      <c r="A497" s="102">
        <v>40309</v>
      </c>
      <c r="B497" s="87">
        <v>4387</v>
      </c>
      <c r="C497" s="88">
        <v>46375</v>
      </c>
    </row>
    <row r="498" spans="1:3">
      <c r="A498" s="102">
        <v>40310</v>
      </c>
      <c r="B498" s="87">
        <v>3956</v>
      </c>
      <c r="C498" s="88">
        <v>145743</v>
      </c>
    </row>
    <row r="499" spans="1:3">
      <c r="A499" s="102">
        <v>40311</v>
      </c>
      <c r="B499" s="87">
        <v>53</v>
      </c>
      <c r="C499" s="88">
        <v>138058</v>
      </c>
    </row>
    <row r="500" spans="1:3">
      <c r="A500" s="102">
        <v>40312</v>
      </c>
      <c r="B500" s="87">
        <v>167</v>
      </c>
      <c r="C500" s="88">
        <v>225607</v>
      </c>
    </row>
    <row r="501" spans="1:3">
      <c r="A501" s="102">
        <v>40315</v>
      </c>
      <c r="B501" s="87">
        <v>51</v>
      </c>
      <c r="C501" s="88">
        <v>202200</v>
      </c>
    </row>
    <row r="502" spans="1:3">
      <c r="A502" s="102">
        <v>40316</v>
      </c>
      <c r="B502" s="87">
        <v>580</v>
      </c>
      <c r="C502" s="88">
        <v>232148</v>
      </c>
    </row>
    <row r="503" spans="1:3">
      <c r="A503" s="102">
        <v>40317</v>
      </c>
      <c r="B503" s="87">
        <v>9</v>
      </c>
      <c r="C503" s="88">
        <v>248833</v>
      </c>
    </row>
    <row r="504" spans="1:3">
      <c r="A504" s="102">
        <v>40318</v>
      </c>
      <c r="B504" s="87">
        <v>1</v>
      </c>
      <c r="C504" s="88">
        <v>255100</v>
      </c>
    </row>
    <row r="505" spans="1:3">
      <c r="A505" s="102">
        <v>40319</v>
      </c>
      <c r="B505" s="87">
        <v>13</v>
      </c>
      <c r="C505" s="88">
        <v>253469</v>
      </c>
    </row>
    <row r="506" spans="1:3">
      <c r="A506" s="102">
        <v>40322</v>
      </c>
      <c r="B506" s="87">
        <v>45</v>
      </c>
      <c r="C506" s="88">
        <v>264484</v>
      </c>
    </row>
    <row r="507" spans="1:3">
      <c r="A507" s="102">
        <v>40323</v>
      </c>
      <c r="B507" s="87">
        <v>181</v>
      </c>
      <c r="C507" s="88">
        <v>267598</v>
      </c>
    </row>
    <row r="508" spans="1:3">
      <c r="A508" s="102">
        <v>40324</v>
      </c>
      <c r="B508" s="87">
        <v>163</v>
      </c>
      <c r="C508" s="88">
        <v>294533</v>
      </c>
    </row>
    <row r="509" spans="1:3">
      <c r="A509" s="102">
        <v>40325</v>
      </c>
      <c r="B509" s="87">
        <v>30</v>
      </c>
      <c r="C509" s="88">
        <v>305432</v>
      </c>
    </row>
    <row r="510" spans="1:3">
      <c r="A510" s="102">
        <v>40326</v>
      </c>
      <c r="B510" s="87">
        <v>250</v>
      </c>
      <c r="C510" s="88">
        <v>316163</v>
      </c>
    </row>
    <row r="511" spans="1:3">
      <c r="A511" s="102">
        <v>40329</v>
      </c>
      <c r="B511" s="87">
        <v>1091</v>
      </c>
      <c r="C511" s="88">
        <v>305232</v>
      </c>
    </row>
    <row r="512" spans="1:3">
      <c r="A512" s="102">
        <v>40330</v>
      </c>
      <c r="B512" s="87">
        <v>24</v>
      </c>
      <c r="C512" s="88">
        <v>316405</v>
      </c>
    </row>
    <row r="513" spans="1:3">
      <c r="A513" s="102">
        <v>40331</v>
      </c>
      <c r="B513" s="87">
        <v>9</v>
      </c>
      <c r="C513" s="88">
        <v>320367</v>
      </c>
    </row>
    <row r="514" spans="1:3">
      <c r="A514" s="102">
        <v>40332</v>
      </c>
      <c r="B514" s="87">
        <v>315</v>
      </c>
      <c r="C514" s="88">
        <v>299471</v>
      </c>
    </row>
    <row r="515" spans="1:3">
      <c r="A515" s="102">
        <v>40333</v>
      </c>
      <c r="B515" s="87">
        <v>9</v>
      </c>
      <c r="C515" s="88">
        <v>350903</v>
      </c>
    </row>
    <row r="516" spans="1:3">
      <c r="A516" s="102">
        <v>40336</v>
      </c>
      <c r="B516" s="87">
        <v>8</v>
      </c>
      <c r="C516" s="88">
        <v>361692</v>
      </c>
    </row>
    <row r="517" spans="1:3">
      <c r="A517" s="102">
        <v>40337</v>
      </c>
      <c r="B517" s="87">
        <v>29</v>
      </c>
      <c r="C517" s="88">
        <v>364587</v>
      </c>
    </row>
    <row r="518" spans="1:3">
      <c r="A518" s="102">
        <v>40338</v>
      </c>
      <c r="B518" s="87">
        <v>1327</v>
      </c>
      <c r="C518" s="88">
        <v>368978</v>
      </c>
    </row>
    <row r="519" spans="1:3">
      <c r="A519" s="102">
        <v>40339</v>
      </c>
      <c r="B519" s="87">
        <v>735</v>
      </c>
      <c r="C519" s="88">
        <v>365904</v>
      </c>
    </row>
    <row r="520" spans="1:3">
      <c r="A520" s="102">
        <v>40340</v>
      </c>
      <c r="B520" s="87">
        <v>367</v>
      </c>
      <c r="C520" s="88">
        <v>384260</v>
      </c>
    </row>
    <row r="521" spans="1:3">
      <c r="A521" s="102">
        <v>40343</v>
      </c>
      <c r="B521" s="87">
        <v>50</v>
      </c>
      <c r="C521" s="88">
        <v>381220</v>
      </c>
    </row>
    <row r="522" spans="1:3">
      <c r="A522" s="102">
        <v>40344</v>
      </c>
      <c r="B522" s="87">
        <v>679</v>
      </c>
      <c r="C522" s="88">
        <v>77168</v>
      </c>
    </row>
    <row r="523" spans="1:3">
      <c r="A523" s="102">
        <v>40345</v>
      </c>
      <c r="B523" s="87">
        <v>30</v>
      </c>
      <c r="C523" s="88">
        <v>200733</v>
      </c>
    </row>
    <row r="524" spans="1:3">
      <c r="A524" s="102">
        <v>40346</v>
      </c>
      <c r="B524" s="87">
        <v>11</v>
      </c>
      <c r="C524" s="93">
        <v>213085</v>
      </c>
    </row>
    <row r="525" spans="1:3">
      <c r="A525" s="102">
        <v>40347</v>
      </c>
      <c r="B525" s="87">
        <v>11</v>
      </c>
      <c r="C525" s="88">
        <v>232045</v>
      </c>
    </row>
    <row r="526" spans="1:3">
      <c r="A526" s="102">
        <v>40350</v>
      </c>
      <c r="B526" s="87">
        <v>1517</v>
      </c>
      <c r="C526" s="88">
        <v>226129</v>
      </c>
    </row>
    <row r="527" spans="1:3">
      <c r="A527" s="102">
        <v>40351</v>
      </c>
      <c r="B527" s="87">
        <v>11</v>
      </c>
      <c r="C527" s="88">
        <v>213562</v>
      </c>
    </row>
    <row r="528" spans="1:3">
      <c r="A528" s="102">
        <v>40352</v>
      </c>
      <c r="B528" s="87">
        <v>0</v>
      </c>
      <c r="C528" s="88">
        <v>214254</v>
      </c>
    </row>
    <row r="529" spans="1:3">
      <c r="A529" s="102">
        <v>40353</v>
      </c>
      <c r="B529" s="87">
        <v>1</v>
      </c>
      <c r="C529" s="88">
        <v>250019</v>
      </c>
    </row>
    <row r="530" spans="1:3">
      <c r="A530" s="102">
        <v>40354</v>
      </c>
      <c r="B530" s="87">
        <v>565</v>
      </c>
      <c r="C530" s="88">
        <v>284357</v>
      </c>
    </row>
    <row r="531" spans="1:3">
      <c r="A531" s="102">
        <v>40357</v>
      </c>
      <c r="B531" s="87">
        <v>540</v>
      </c>
      <c r="C531" s="88">
        <v>304711</v>
      </c>
    </row>
    <row r="532" spans="1:3">
      <c r="A532" s="102">
        <v>40358</v>
      </c>
      <c r="B532" s="87">
        <v>429</v>
      </c>
      <c r="C532" s="88">
        <v>302228</v>
      </c>
    </row>
    <row r="533" spans="1:3">
      <c r="A533" s="102">
        <v>40359</v>
      </c>
      <c r="B533" s="87">
        <v>27</v>
      </c>
      <c r="C533" s="88">
        <v>309106</v>
      </c>
    </row>
    <row r="534" spans="1:3">
      <c r="A534" s="102">
        <v>40360</v>
      </c>
      <c r="B534" s="87">
        <v>696</v>
      </c>
      <c r="C534" s="88">
        <v>212629</v>
      </c>
    </row>
    <row r="535" spans="1:3">
      <c r="A535" s="102">
        <v>40361</v>
      </c>
      <c r="B535" s="87">
        <v>484</v>
      </c>
      <c r="C535" s="88">
        <v>231717</v>
      </c>
    </row>
    <row r="536" spans="1:3">
      <c r="A536" s="102">
        <v>40364</v>
      </c>
      <c r="B536" s="87">
        <v>856</v>
      </c>
      <c r="C536" s="88">
        <v>246410</v>
      </c>
    </row>
    <row r="537" spans="1:3">
      <c r="A537" s="102">
        <v>40365</v>
      </c>
      <c r="B537" s="87">
        <v>22</v>
      </c>
      <c r="C537" s="88">
        <v>243402</v>
      </c>
    </row>
    <row r="538" spans="1:3">
      <c r="A538" s="102">
        <v>40366</v>
      </c>
      <c r="B538" s="87">
        <v>80</v>
      </c>
      <c r="C538" s="88">
        <v>188405</v>
      </c>
    </row>
    <row r="539" spans="1:3">
      <c r="A539" s="102">
        <v>40367</v>
      </c>
      <c r="B539" s="87">
        <v>1</v>
      </c>
      <c r="C539" s="88">
        <v>190710</v>
      </c>
    </row>
    <row r="540" spans="1:3">
      <c r="A540" s="102">
        <v>40368</v>
      </c>
      <c r="B540" s="87">
        <v>1</v>
      </c>
      <c r="C540" s="88">
        <v>205544</v>
      </c>
    </row>
    <row r="541" spans="1:3">
      <c r="A541" s="102">
        <v>40371</v>
      </c>
      <c r="B541" s="87">
        <v>21</v>
      </c>
      <c r="C541" s="88">
        <v>221922</v>
      </c>
    </row>
    <row r="542" spans="1:3">
      <c r="A542" s="102">
        <v>40372</v>
      </c>
      <c r="B542" s="87">
        <v>1636</v>
      </c>
      <c r="C542" s="88">
        <v>52738</v>
      </c>
    </row>
    <row r="543" spans="1:3">
      <c r="A543" s="102">
        <v>40373</v>
      </c>
      <c r="B543" s="87">
        <v>2</v>
      </c>
      <c r="C543" s="88">
        <v>85668</v>
      </c>
    </row>
    <row r="544" spans="1:3">
      <c r="A544" s="102">
        <v>40374</v>
      </c>
      <c r="B544" s="87">
        <v>1</v>
      </c>
      <c r="C544" s="88">
        <v>61659</v>
      </c>
    </row>
    <row r="545" spans="1:3">
      <c r="A545" s="102">
        <v>40375</v>
      </c>
      <c r="B545" s="87">
        <v>1</v>
      </c>
      <c r="C545" s="88">
        <v>58550</v>
      </c>
    </row>
    <row r="546" spans="1:3">
      <c r="A546" s="102">
        <v>40378</v>
      </c>
      <c r="B546" s="87">
        <v>390</v>
      </c>
      <c r="C546" s="88">
        <v>52472</v>
      </c>
    </row>
    <row r="547" spans="1:3">
      <c r="A547" s="102">
        <v>40379</v>
      </c>
      <c r="B547" s="87">
        <v>990</v>
      </c>
      <c r="C547" s="88">
        <v>55069</v>
      </c>
    </row>
    <row r="548" spans="1:3">
      <c r="A548" s="102">
        <v>40380</v>
      </c>
      <c r="B548" s="87">
        <v>2</v>
      </c>
      <c r="C548" s="88">
        <v>47666</v>
      </c>
    </row>
    <row r="549" spans="1:3">
      <c r="A549" s="102">
        <v>40381</v>
      </c>
      <c r="B549" s="87">
        <v>10</v>
      </c>
      <c r="C549" s="88">
        <v>56285</v>
      </c>
    </row>
    <row r="550" spans="1:3">
      <c r="A550" s="102">
        <v>40382</v>
      </c>
      <c r="B550" s="87">
        <v>3</v>
      </c>
      <c r="C550" s="88">
        <v>61325</v>
      </c>
    </row>
    <row r="551" spans="1:3">
      <c r="A551" s="102">
        <v>40385</v>
      </c>
      <c r="B551" s="87">
        <v>7</v>
      </c>
      <c r="C551" s="88">
        <v>69409</v>
      </c>
    </row>
    <row r="552" spans="1:3">
      <c r="A552" s="102">
        <v>40386</v>
      </c>
      <c r="B552" s="87">
        <v>45</v>
      </c>
      <c r="C552" s="88">
        <v>79089</v>
      </c>
    </row>
    <row r="553" spans="1:3">
      <c r="A553" s="102">
        <v>40387</v>
      </c>
      <c r="B553" s="87">
        <v>60</v>
      </c>
      <c r="C553" s="88">
        <v>91307</v>
      </c>
    </row>
    <row r="554" spans="1:3">
      <c r="A554" s="102">
        <v>40388</v>
      </c>
      <c r="B554" s="87">
        <v>79</v>
      </c>
      <c r="C554" s="88">
        <v>117923</v>
      </c>
    </row>
    <row r="555" spans="1:3">
      <c r="A555" s="102">
        <v>40389</v>
      </c>
      <c r="B555" s="87">
        <v>366</v>
      </c>
      <c r="C555" s="88">
        <v>120894</v>
      </c>
    </row>
    <row r="556" spans="1:3">
      <c r="A556" s="102">
        <v>40392</v>
      </c>
      <c r="B556" s="87">
        <v>4</v>
      </c>
      <c r="C556" s="88">
        <v>138117</v>
      </c>
    </row>
    <row r="557" spans="1:3">
      <c r="A557" s="102">
        <v>40393</v>
      </c>
      <c r="B557" s="87">
        <v>45</v>
      </c>
      <c r="C557" s="88">
        <v>146408</v>
      </c>
    </row>
    <row r="558" spans="1:3">
      <c r="A558" s="102">
        <v>40394</v>
      </c>
      <c r="B558" s="87">
        <v>676</v>
      </c>
      <c r="C558" s="88">
        <v>144342</v>
      </c>
    </row>
    <row r="559" spans="1:3">
      <c r="A559" s="102">
        <v>40395</v>
      </c>
      <c r="B559" s="87">
        <v>11</v>
      </c>
      <c r="C559" s="88">
        <v>149973</v>
      </c>
    </row>
    <row r="560" spans="1:3">
      <c r="A560" s="102">
        <v>40396</v>
      </c>
      <c r="B560" s="87">
        <v>85</v>
      </c>
      <c r="C560" s="88">
        <v>161330</v>
      </c>
    </row>
    <row r="561" spans="1:3">
      <c r="A561" s="102">
        <v>40399</v>
      </c>
      <c r="B561" s="87">
        <v>1</v>
      </c>
      <c r="C561" s="88">
        <v>172078</v>
      </c>
    </row>
    <row r="562" spans="1:3">
      <c r="A562" s="102">
        <v>40400</v>
      </c>
      <c r="B562" s="87">
        <v>116</v>
      </c>
      <c r="C562" s="88">
        <v>34495</v>
      </c>
    </row>
    <row r="563" spans="1:3">
      <c r="A563" s="102">
        <v>40401</v>
      </c>
      <c r="B563" s="87">
        <v>29</v>
      </c>
      <c r="C563" s="88">
        <v>38687</v>
      </c>
    </row>
    <row r="564" spans="1:3">
      <c r="A564" s="102">
        <v>40402</v>
      </c>
      <c r="B564" s="87">
        <v>367</v>
      </c>
      <c r="C564" s="88">
        <v>44863</v>
      </c>
    </row>
    <row r="565" spans="1:3">
      <c r="A565" s="102">
        <v>40403</v>
      </c>
      <c r="B565" s="87">
        <v>253</v>
      </c>
      <c r="C565" s="88">
        <v>55585</v>
      </c>
    </row>
    <row r="566" spans="1:3">
      <c r="A566" s="102">
        <v>40406</v>
      </c>
      <c r="B566" s="87">
        <v>1482</v>
      </c>
      <c r="C566" s="88">
        <v>68670</v>
      </c>
    </row>
    <row r="567" spans="1:3">
      <c r="A567" s="102">
        <v>40407</v>
      </c>
      <c r="B567" s="87">
        <v>1861</v>
      </c>
      <c r="C567" s="88">
        <v>64015</v>
      </c>
    </row>
    <row r="568" spans="1:3">
      <c r="A568" s="102">
        <v>40408</v>
      </c>
      <c r="B568" s="87">
        <v>775</v>
      </c>
      <c r="C568" s="88">
        <v>68326</v>
      </c>
    </row>
    <row r="569" spans="1:3">
      <c r="A569" s="102">
        <v>40409</v>
      </c>
      <c r="B569" s="87">
        <v>503</v>
      </c>
      <c r="C569" s="88">
        <v>74170</v>
      </c>
    </row>
    <row r="570" spans="1:3">
      <c r="A570" s="102">
        <v>40410</v>
      </c>
      <c r="B570" s="87">
        <v>340</v>
      </c>
      <c r="C570" s="88">
        <v>74181</v>
      </c>
    </row>
    <row r="571" spans="1:3">
      <c r="A571" s="102">
        <v>40413</v>
      </c>
      <c r="B571" s="87">
        <v>129</v>
      </c>
      <c r="C571" s="88">
        <v>91219</v>
      </c>
    </row>
    <row r="572" spans="1:3">
      <c r="A572" s="102">
        <v>40414</v>
      </c>
      <c r="B572" s="87">
        <v>491</v>
      </c>
      <c r="C572" s="88">
        <v>90629</v>
      </c>
    </row>
    <row r="573" spans="1:3">
      <c r="A573" s="102">
        <v>40415</v>
      </c>
      <c r="B573" s="87">
        <v>49</v>
      </c>
      <c r="C573" s="88">
        <v>90793</v>
      </c>
    </row>
    <row r="574" spans="1:3">
      <c r="A574" s="102">
        <v>40416</v>
      </c>
      <c r="B574" s="87">
        <v>921</v>
      </c>
      <c r="C574" s="88">
        <v>87863</v>
      </c>
    </row>
    <row r="575" spans="1:3">
      <c r="A575" s="102">
        <v>40417</v>
      </c>
      <c r="B575" s="87">
        <v>1427</v>
      </c>
      <c r="C575" s="88">
        <v>102698</v>
      </c>
    </row>
    <row r="576" spans="1:3">
      <c r="A576" s="102">
        <v>40420</v>
      </c>
      <c r="B576" s="87">
        <v>1409</v>
      </c>
      <c r="C576" s="88">
        <v>100254</v>
      </c>
    </row>
    <row r="577" spans="1:3">
      <c r="A577" s="102">
        <v>40421</v>
      </c>
      <c r="B577" s="87">
        <v>1545</v>
      </c>
      <c r="C577" s="88">
        <v>104262</v>
      </c>
    </row>
    <row r="578" spans="1:3">
      <c r="A578" s="102">
        <v>40422</v>
      </c>
      <c r="B578" s="87">
        <v>12</v>
      </c>
      <c r="C578" s="88">
        <v>95392</v>
      </c>
    </row>
    <row r="579" spans="1:3">
      <c r="A579" s="102">
        <v>40423</v>
      </c>
      <c r="B579" s="87">
        <v>191</v>
      </c>
      <c r="C579" s="88">
        <v>92437</v>
      </c>
    </row>
    <row r="580" spans="1:3">
      <c r="A580" s="102">
        <v>40424</v>
      </c>
      <c r="B580" s="87">
        <v>3</v>
      </c>
      <c r="C580" s="88">
        <v>122440</v>
      </c>
    </row>
    <row r="581" spans="1:3">
      <c r="A581" s="102">
        <v>40427</v>
      </c>
      <c r="B581" s="87">
        <v>11</v>
      </c>
      <c r="C581" s="88">
        <v>129129</v>
      </c>
    </row>
    <row r="582" spans="1:3">
      <c r="A582" s="102">
        <v>40428</v>
      </c>
      <c r="B582" s="87">
        <v>131</v>
      </c>
      <c r="C582" s="88">
        <v>38583</v>
      </c>
    </row>
    <row r="583" spans="1:3">
      <c r="A583" s="102">
        <v>40429</v>
      </c>
      <c r="B583" s="87">
        <v>0</v>
      </c>
      <c r="C583" s="88">
        <v>44328</v>
      </c>
    </row>
    <row r="584" spans="1:3">
      <c r="A584" s="102">
        <v>40430</v>
      </c>
      <c r="B584" s="87">
        <v>620</v>
      </c>
      <c r="C584" s="88">
        <v>40519</v>
      </c>
    </row>
    <row r="585" spans="1:3">
      <c r="A585" s="102">
        <v>40431</v>
      </c>
      <c r="B585" s="87">
        <v>1025</v>
      </c>
      <c r="C585" s="88">
        <v>49071</v>
      </c>
    </row>
    <row r="586" spans="1:3">
      <c r="A586" s="102">
        <v>40434</v>
      </c>
      <c r="B586" s="87">
        <v>1849</v>
      </c>
      <c r="C586" s="88">
        <v>42081</v>
      </c>
    </row>
    <row r="587" spans="1:3">
      <c r="A587" s="102">
        <v>40435</v>
      </c>
      <c r="B587" s="87">
        <v>0</v>
      </c>
      <c r="C587" s="88">
        <v>39262</v>
      </c>
    </row>
    <row r="588" spans="1:3">
      <c r="A588" s="102">
        <v>40436</v>
      </c>
      <c r="B588" s="87">
        <v>4</v>
      </c>
      <c r="C588" s="88">
        <v>50735</v>
      </c>
    </row>
    <row r="589" spans="1:3">
      <c r="A589" s="102">
        <v>40437</v>
      </c>
      <c r="B589" s="87">
        <v>2</v>
      </c>
      <c r="C589" s="88">
        <v>43216</v>
      </c>
    </row>
    <row r="590" spans="1:3">
      <c r="A590" s="102">
        <v>40438</v>
      </c>
      <c r="B590" s="87">
        <v>0</v>
      </c>
      <c r="C590" s="88">
        <v>61594</v>
      </c>
    </row>
    <row r="591" spans="1:3">
      <c r="A591" s="102">
        <v>40441</v>
      </c>
      <c r="B591" s="87">
        <v>206</v>
      </c>
      <c r="C591" s="88">
        <v>64136</v>
      </c>
    </row>
    <row r="592" spans="1:3">
      <c r="A592" s="102">
        <v>40442</v>
      </c>
      <c r="B592" s="87">
        <v>19</v>
      </c>
      <c r="C592" s="88">
        <v>61566</v>
      </c>
    </row>
    <row r="593" spans="1:3">
      <c r="A593" s="102">
        <v>40443</v>
      </c>
      <c r="B593" s="87">
        <v>2</v>
      </c>
      <c r="C593" s="88">
        <v>73095</v>
      </c>
    </row>
    <row r="594" spans="1:3">
      <c r="A594" s="102">
        <v>40444</v>
      </c>
      <c r="B594" s="87">
        <v>551</v>
      </c>
      <c r="C594" s="88">
        <v>74466</v>
      </c>
    </row>
    <row r="595" spans="1:3">
      <c r="A595" s="102">
        <v>40449</v>
      </c>
      <c r="B595" s="87">
        <v>1384</v>
      </c>
      <c r="C595" s="88">
        <v>101047</v>
      </c>
    </row>
    <row r="596" spans="1:3">
      <c r="A596" s="102">
        <v>40450</v>
      </c>
      <c r="B596" s="87">
        <v>2</v>
      </c>
      <c r="C596" s="88">
        <v>101875</v>
      </c>
    </row>
    <row r="597" spans="1:3">
      <c r="A597" s="102">
        <v>40451</v>
      </c>
      <c r="B597" s="87">
        <v>3511</v>
      </c>
      <c r="C597" s="88">
        <v>77171</v>
      </c>
    </row>
    <row r="598" spans="1:3">
      <c r="A598" s="102">
        <v>40452</v>
      </c>
      <c r="B598" s="87">
        <v>1559</v>
      </c>
      <c r="C598" s="88">
        <v>49471</v>
      </c>
    </row>
    <row r="599" spans="1:3">
      <c r="A599" s="102">
        <v>40455</v>
      </c>
      <c r="B599" s="87">
        <v>615</v>
      </c>
      <c r="C599" s="88">
        <v>76825</v>
      </c>
    </row>
    <row r="600" spans="1:3">
      <c r="A600" s="102">
        <v>40456</v>
      </c>
      <c r="B600" s="87">
        <v>35</v>
      </c>
      <c r="C600" s="88">
        <v>83917</v>
      </c>
    </row>
    <row r="601" spans="1:3">
      <c r="A601" s="102">
        <v>40457</v>
      </c>
      <c r="B601" s="87">
        <v>351</v>
      </c>
      <c r="C601" s="88">
        <v>92164</v>
      </c>
    </row>
    <row r="602" spans="1:3">
      <c r="A602" s="102">
        <v>40458</v>
      </c>
      <c r="B602" s="87">
        <v>317</v>
      </c>
      <c r="C602" s="88">
        <v>94612</v>
      </c>
    </row>
    <row r="603" spans="1:3">
      <c r="A603" s="102">
        <v>40459</v>
      </c>
      <c r="B603" s="87">
        <v>391</v>
      </c>
      <c r="C603" s="88">
        <v>94413</v>
      </c>
    </row>
    <row r="604" spans="1:3">
      <c r="A604" s="102">
        <v>40462</v>
      </c>
      <c r="B604" s="87">
        <v>479</v>
      </c>
      <c r="C604" s="88">
        <v>100580</v>
      </c>
    </row>
    <row r="605" spans="1:3">
      <c r="A605" s="102">
        <v>40463</v>
      </c>
      <c r="B605" s="87">
        <v>251</v>
      </c>
      <c r="C605" s="88">
        <v>44027</v>
      </c>
    </row>
    <row r="606" spans="1:3">
      <c r="A606" s="102">
        <v>40464</v>
      </c>
      <c r="B606" s="87">
        <v>2116</v>
      </c>
      <c r="C606" s="88">
        <v>28522</v>
      </c>
    </row>
    <row r="607" spans="1:3">
      <c r="A607" s="102">
        <v>40465</v>
      </c>
      <c r="B607" s="87">
        <v>1286</v>
      </c>
      <c r="C607" s="88">
        <v>27970</v>
      </c>
    </row>
    <row r="608" spans="1:3">
      <c r="A608" s="102">
        <v>40466</v>
      </c>
      <c r="B608" s="87">
        <v>1442</v>
      </c>
      <c r="C608" s="88">
        <v>35782</v>
      </c>
    </row>
    <row r="609" spans="1:3">
      <c r="A609" s="102">
        <v>40469</v>
      </c>
      <c r="B609" s="87">
        <v>61</v>
      </c>
      <c r="C609" s="88">
        <v>32895</v>
      </c>
    </row>
    <row r="610" spans="1:3">
      <c r="A610" s="102">
        <v>40470</v>
      </c>
      <c r="B610" s="87">
        <v>253</v>
      </c>
      <c r="C610" s="88">
        <v>25115</v>
      </c>
    </row>
    <row r="611" spans="1:3">
      <c r="A611" s="102">
        <v>40471</v>
      </c>
      <c r="B611" s="87">
        <v>148</v>
      </c>
      <c r="C611" s="88">
        <v>28522</v>
      </c>
    </row>
    <row r="612" spans="1:3">
      <c r="A612" s="102">
        <v>40472</v>
      </c>
      <c r="B612" s="87">
        <v>259</v>
      </c>
      <c r="C612" s="88">
        <v>21663</v>
      </c>
    </row>
    <row r="613" spans="1:3">
      <c r="A613" s="102">
        <v>40473</v>
      </c>
      <c r="B613" s="87">
        <v>937</v>
      </c>
      <c r="C613" s="88">
        <v>25657</v>
      </c>
    </row>
    <row r="614" spans="1:3">
      <c r="A614" s="102">
        <v>40476</v>
      </c>
      <c r="B614" s="87">
        <v>925</v>
      </c>
      <c r="C614" s="88">
        <v>23904</v>
      </c>
    </row>
    <row r="615" spans="1:3">
      <c r="A615" s="102">
        <v>40477</v>
      </c>
      <c r="B615" s="87">
        <v>1476</v>
      </c>
      <c r="C615" s="88">
        <v>24376</v>
      </c>
    </row>
    <row r="616" spans="1:3">
      <c r="A616" s="102">
        <v>40478</v>
      </c>
      <c r="B616" s="87">
        <v>518</v>
      </c>
      <c r="C616" s="88">
        <v>24567</v>
      </c>
    </row>
    <row r="617" spans="1:3">
      <c r="A617" s="102">
        <v>40479</v>
      </c>
      <c r="B617" s="87">
        <v>222</v>
      </c>
      <c r="C617" s="88">
        <v>37363</v>
      </c>
    </row>
    <row r="618" spans="1:3">
      <c r="A618" s="102">
        <v>40480</v>
      </c>
      <c r="B618" s="87">
        <v>264</v>
      </c>
      <c r="C618" s="88">
        <v>50308</v>
      </c>
    </row>
    <row r="619" spans="1:3">
      <c r="A619" s="102">
        <v>40483</v>
      </c>
      <c r="B619" s="87">
        <v>459</v>
      </c>
      <c r="C619" s="88">
        <v>28128</v>
      </c>
    </row>
    <row r="620" spans="1:3">
      <c r="A620" s="102">
        <v>40484</v>
      </c>
      <c r="B620" s="87">
        <v>4915</v>
      </c>
      <c r="C620" s="88">
        <v>33548</v>
      </c>
    </row>
    <row r="621" spans="1:3">
      <c r="A621" s="102">
        <v>40485</v>
      </c>
      <c r="B621" s="87">
        <v>111</v>
      </c>
      <c r="C621" s="88">
        <v>38664</v>
      </c>
    </row>
    <row r="622" spans="1:3">
      <c r="A622" s="102">
        <v>40486</v>
      </c>
      <c r="B622" s="87">
        <v>199</v>
      </c>
      <c r="C622" s="88">
        <v>51480</v>
      </c>
    </row>
    <row r="623" spans="1:3">
      <c r="A623" s="102">
        <v>40487</v>
      </c>
      <c r="B623" s="87">
        <v>131</v>
      </c>
      <c r="C623" s="88">
        <v>81733</v>
      </c>
    </row>
    <row r="624" spans="1:3">
      <c r="A624" s="102">
        <v>40490</v>
      </c>
      <c r="B624" s="87">
        <v>181</v>
      </c>
      <c r="C624" s="88">
        <v>127691</v>
      </c>
    </row>
    <row r="625" spans="1:3">
      <c r="A625" s="102">
        <v>40491</v>
      </c>
      <c r="B625" s="87">
        <v>131</v>
      </c>
      <c r="C625" s="88">
        <v>38910</v>
      </c>
    </row>
    <row r="626" spans="1:3">
      <c r="A626" s="102">
        <v>40492</v>
      </c>
      <c r="B626" s="87">
        <v>126</v>
      </c>
      <c r="C626" s="88">
        <v>19366</v>
      </c>
    </row>
    <row r="627" spans="1:3">
      <c r="A627" s="102">
        <v>40493</v>
      </c>
      <c r="B627" s="87">
        <v>107</v>
      </c>
      <c r="C627" s="88">
        <v>19351</v>
      </c>
    </row>
    <row r="628" spans="1:3">
      <c r="A628" s="102">
        <v>40494</v>
      </c>
      <c r="B628" s="87">
        <v>2112</v>
      </c>
      <c r="C628" s="88">
        <v>20210</v>
      </c>
    </row>
    <row r="629" spans="1:3">
      <c r="A629" s="102">
        <v>40497</v>
      </c>
      <c r="B629" s="87">
        <v>2850</v>
      </c>
      <c r="C629" s="88">
        <v>51012</v>
      </c>
    </row>
    <row r="630" spans="1:3">
      <c r="A630" s="102">
        <v>40498</v>
      </c>
      <c r="B630" s="87">
        <v>1791</v>
      </c>
      <c r="C630" s="88">
        <v>27223</v>
      </c>
    </row>
    <row r="631" spans="1:3">
      <c r="A631" s="102">
        <v>40499</v>
      </c>
      <c r="B631" s="87">
        <v>1758</v>
      </c>
      <c r="C631" s="88">
        <v>24934</v>
      </c>
    </row>
    <row r="632" spans="1:3">
      <c r="A632" s="102">
        <v>40500</v>
      </c>
      <c r="B632" s="87">
        <v>2600</v>
      </c>
      <c r="C632" s="88">
        <v>23573</v>
      </c>
    </row>
    <row r="633" spans="1:3">
      <c r="A633" s="102">
        <v>40501</v>
      </c>
      <c r="B633" s="87">
        <v>3415</v>
      </c>
      <c r="C633" s="88">
        <v>28900</v>
      </c>
    </row>
    <row r="634" spans="1:3">
      <c r="A634" s="102">
        <v>40504</v>
      </c>
      <c r="B634" s="87">
        <v>3640</v>
      </c>
      <c r="C634" s="88">
        <v>35868</v>
      </c>
    </row>
    <row r="635" spans="1:3">
      <c r="A635" s="102">
        <v>40505</v>
      </c>
      <c r="B635" s="87">
        <v>3226</v>
      </c>
      <c r="C635" s="88">
        <v>38402</v>
      </c>
    </row>
    <row r="636" spans="1:3">
      <c r="A636" s="102">
        <v>40506</v>
      </c>
      <c r="B636" s="87">
        <v>2170</v>
      </c>
      <c r="C636" s="88">
        <v>38133</v>
      </c>
    </row>
    <row r="637" spans="1:3">
      <c r="A637" s="102">
        <v>40507</v>
      </c>
      <c r="B637" s="87">
        <v>3948</v>
      </c>
      <c r="C637" s="88">
        <v>40179</v>
      </c>
    </row>
    <row r="638" spans="1:3">
      <c r="A638" s="102">
        <v>40508</v>
      </c>
      <c r="B638" s="87">
        <v>852</v>
      </c>
      <c r="C638" s="88">
        <v>53776</v>
      </c>
    </row>
    <row r="639" spans="1:3">
      <c r="A639" s="102">
        <v>40511</v>
      </c>
      <c r="B639" s="87">
        <v>1904</v>
      </c>
      <c r="C639" s="88">
        <v>57253</v>
      </c>
    </row>
    <row r="640" spans="1:3">
      <c r="A640" s="102">
        <v>40512</v>
      </c>
      <c r="B640" s="87">
        <v>2448</v>
      </c>
      <c r="C640" s="88">
        <v>50222</v>
      </c>
    </row>
    <row r="641" spans="1:5">
      <c r="A641" s="102">
        <v>40513</v>
      </c>
      <c r="B641" s="87">
        <v>1302</v>
      </c>
      <c r="C641" s="88">
        <v>48779</v>
      </c>
    </row>
    <row r="642" spans="1:5">
      <c r="A642" s="102">
        <v>40514</v>
      </c>
      <c r="B642" s="87">
        <v>1160</v>
      </c>
      <c r="C642" s="88">
        <v>57922</v>
      </c>
    </row>
    <row r="643" spans="1:5">
      <c r="A643" s="102">
        <v>40515</v>
      </c>
      <c r="B643" s="87">
        <v>865</v>
      </c>
      <c r="C643" s="88">
        <v>84850</v>
      </c>
    </row>
    <row r="644" spans="1:5">
      <c r="A644" s="102">
        <v>40518</v>
      </c>
      <c r="B644" s="87">
        <v>1103</v>
      </c>
      <c r="C644" s="88">
        <v>122950</v>
      </c>
      <c r="E644">
        <f>MAX(B1:B644)</f>
        <v>28707</v>
      </c>
    </row>
    <row r="645" spans="1:5">
      <c r="A645" s="102">
        <v>40519</v>
      </c>
      <c r="B645" s="87">
        <v>1479</v>
      </c>
      <c r="C645" s="88">
        <v>31970</v>
      </c>
    </row>
    <row r="646" spans="1:5">
      <c r="A646" s="102">
        <v>40520</v>
      </c>
      <c r="B646" s="87">
        <v>4</v>
      </c>
      <c r="C646" s="88">
        <v>22077</v>
      </c>
    </row>
    <row r="647" spans="1:5">
      <c r="A647" s="102">
        <v>40521</v>
      </c>
      <c r="B647" s="87">
        <v>12</v>
      </c>
      <c r="C647" s="88">
        <v>23824</v>
      </c>
    </row>
    <row r="648" spans="1:5">
      <c r="A648" s="102">
        <v>40522</v>
      </c>
      <c r="B648" s="87">
        <v>597</v>
      </c>
      <c r="C648" s="88">
        <v>24100</v>
      </c>
    </row>
    <row r="649" spans="1:5">
      <c r="A649" s="102">
        <v>40525</v>
      </c>
      <c r="B649" s="87">
        <v>8</v>
      </c>
      <c r="C649" s="88">
        <v>26975</v>
      </c>
    </row>
    <row r="650" spans="1:5">
      <c r="A650" s="102">
        <v>40526</v>
      </c>
      <c r="B650" s="87">
        <v>39</v>
      </c>
      <c r="C650" s="88">
        <v>31954</v>
      </c>
    </row>
    <row r="651" spans="1:5">
      <c r="A651" s="102">
        <v>40527</v>
      </c>
      <c r="B651" s="87">
        <v>393</v>
      </c>
      <c r="C651" s="88">
        <v>29585</v>
      </c>
    </row>
    <row r="652" spans="1:5">
      <c r="A652" s="102">
        <v>40528</v>
      </c>
      <c r="B652" s="87">
        <v>340</v>
      </c>
      <c r="C652" s="88">
        <v>28500</v>
      </c>
    </row>
    <row r="653" spans="1:5">
      <c r="A653" s="102">
        <v>40529</v>
      </c>
      <c r="B653" s="87">
        <v>1340</v>
      </c>
      <c r="C653" s="88">
        <v>40321</v>
      </c>
    </row>
    <row r="654" spans="1:5">
      <c r="A654" s="102">
        <v>40532</v>
      </c>
      <c r="B654" s="87">
        <v>1251</v>
      </c>
      <c r="C654" s="88">
        <v>61359</v>
      </c>
    </row>
    <row r="655" spans="1:5">
      <c r="A655" s="102">
        <v>40533</v>
      </c>
      <c r="B655" s="87">
        <v>3577</v>
      </c>
      <c r="C655" s="88">
        <v>61191</v>
      </c>
    </row>
    <row r="656" spans="1:5">
      <c r="A656" s="102">
        <v>40534</v>
      </c>
      <c r="B656" s="87">
        <v>3484</v>
      </c>
      <c r="C656" s="88">
        <v>65634</v>
      </c>
    </row>
    <row r="657" spans="1:3">
      <c r="A657" s="102">
        <v>40535</v>
      </c>
      <c r="B657" s="87">
        <v>229</v>
      </c>
      <c r="C657" s="88">
        <v>43619</v>
      </c>
    </row>
    <row r="658" spans="1:3">
      <c r="A658" s="102">
        <v>40536</v>
      </c>
      <c r="B658" s="87">
        <v>804</v>
      </c>
      <c r="C658" s="88">
        <v>55371</v>
      </c>
    </row>
    <row r="659" spans="1:3">
      <c r="A659" s="102">
        <v>40539</v>
      </c>
      <c r="B659" s="87">
        <v>207</v>
      </c>
      <c r="C659" s="88">
        <v>69326</v>
      </c>
    </row>
    <row r="660" spans="1:3">
      <c r="A660" s="102">
        <v>40540</v>
      </c>
      <c r="B660" s="87">
        <v>279</v>
      </c>
      <c r="C660" s="88">
        <v>65619</v>
      </c>
    </row>
    <row r="661" spans="1:3">
      <c r="A661" s="102">
        <v>40541</v>
      </c>
      <c r="B661" s="87">
        <v>311</v>
      </c>
      <c r="C661" s="88">
        <v>78863</v>
      </c>
    </row>
    <row r="662" spans="1:3">
      <c r="A662" s="102">
        <v>40542</v>
      </c>
      <c r="B662" s="87">
        <v>27</v>
      </c>
      <c r="C662" s="88">
        <v>88872</v>
      </c>
    </row>
    <row r="663" spans="1:3">
      <c r="A663" s="102">
        <v>40543</v>
      </c>
      <c r="B663" s="87">
        <v>25</v>
      </c>
      <c r="C663" s="88">
        <v>104458</v>
      </c>
    </row>
    <row r="664" spans="1:3">
      <c r="A664" s="102">
        <v>40546</v>
      </c>
      <c r="B664" s="87">
        <v>23</v>
      </c>
      <c r="C664" s="88">
        <v>93415</v>
      </c>
    </row>
    <row r="665" spans="1:3">
      <c r="A665" s="102">
        <v>40547</v>
      </c>
      <c r="B665" s="87">
        <v>39</v>
      </c>
      <c r="C665" s="88">
        <v>93727</v>
      </c>
    </row>
    <row r="666" spans="1:3">
      <c r="A666" s="102">
        <v>40548</v>
      </c>
      <c r="B666" s="87">
        <v>1</v>
      </c>
      <c r="C666" s="88">
        <v>72093</v>
      </c>
    </row>
    <row r="667" spans="1:3">
      <c r="A667" s="102">
        <v>40549</v>
      </c>
      <c r="B667" s="87">
        <v>1</v>
      </c>
      <c r="C667" s="88">
        <v>72093</v>
      </c>
    </row>
    <row r="668" spans="1:3">
      <c r="A668" s="102">
        <v>40550</v>
      </c>
      <c r="B668" s="87">
        <v>1</v>
      </c>
      <c r="C668" s="88">
        <v>72093</v>
      </c>
    </row>
    <row r="669" spans="1:3">
      <c r="A669" s="102">
        <v>40553</v>
      </c>
      <c r="B669" s="87">
        <v>1</v>
      </c>
      <c r="C669" s="88">
        <v>72093</v>
      </c>
    </row>
    <row r="670" spans="1:3">
      <c r="A670" s="102">
        <v>40554</v>
      </c>
      <c r="B670" s="87">
        <v>1</v>
      </c>
      <c r="C670" s="88">
        <v>72093</v>
      </c>
    </row>
    <row r="671" spans="1:3">
      <c r="A671" s="102">
        <v>40555</v>
      </c>
      <c r="B671" s="87">
        <v>43</v>
      </c>
      <c r="C671" s="88">
        <v>103434</v>
      </c>
    </row>
    <row r="672" spans="1:3">
      <c r="A672" s="102">
        <v>40556</v>
      </c>
      <c r="B672" s="87">
        <v>8</v>
      </c>
      <c r="C672" s="88">
        <v>105247</v>
      </c>
    </row>
    <row r="673" spans="1:3">
      <c r="A673" s="102">
        <v>40557</v>
      </c>
      <c r="B673" s="87">
        <v>32</v>
      </c>
      <c r="C673" s="88">
        <v>107200</v>
      </c>
    </row>
    <row r="674" spans="1:3">
      <c r="A674" s="102">
        <v>40560</v>
      </c>
      <c r="B674" s="87">
        <v>86</v>
      </c>
      <c r="C674" s="88">
        <v>115071</v>
      </c>
    </row>
    <row r="675" spans="1:3">
      <c r="A675" s="102">
        <v>40561</v>
      </c>
      <c r="B675" s="87">
        <v>189</v>
      </c>
      <c r="C675" s="88">
        <v>32842</v>
      </c>
    </row>
    <row r="676" spans="1:3">
      <c r="A676" s="102">
        <v>40562</v>
      </c>
      <c r="B676" s="87">
        <v>29</v>
      </c>
      <c r="C676" s="88">
        <v>21539</v>
      </c>
    </row>
    <row r="677" spans="1:3">
      <c r="A677" s="102">
        <v>40563</v>
      </c>
      <c r="B677" s="87">
        <v>284</v>
      </c>
      <c r="C677" s="88">
        <v>26197</v>
      </c>
    </row>
    <row r="678" spans="1:3">
      <c r="A678" s="102">
        <v>40564</v>
      </c>
      <c r="B678" s="87">
        <v>91</v>
      </c>
      <c r="C678" s="88">
        <v>27477</v>
      </c>
    </row>
    <row r="679" spans="1:3">
      <c r="A679" s="102">
        <v>40567</v>
      </c>
      <c r="B679" s="87">
        <v>17</v>
      </c>
      <c r="C679" s="88">
        <v>24842</v>
      </c>
    </row>
    <row r="680" spans="1:3">
      <c r="A680" s="102">
        <v>40568</v>
      </c>
      <c r="B680" s="87">
        <v>4</v>
      </c>
      <c r="C680" s="88">
        <v>25936</v>
      </c>
    </row>
    <row r="681" spans="1:3">
      <c r="A681" s="102">
        <v>40569</v>
      </c>
      <c r="B681" s="87">
        <v>64</v>
      </c>
      <c r="C681" s="88">
        <v>21326</v>
      </c>
    </row>
    <row r="682" spans="1:3">
      <c r="A682" s="102">
        <v>40570</v>
      </c>
      <c r="B682" s="87">
        <v>48</v>
      </c>
      <c r="C682" s="88">
        <v>26859</v>
      </c>
    </row>
    <row r="683" spans="1:3">
      <c r="A683" s="102">
        <v>40571</v>
      </c>
      <c r="B683" s="87">
        <v>0</v>
      </c>
      <c r="C683" s="88">
        <v>24416</v>
      </c>
    </row>
    <row r="684" spans="1:3">
      <c r="A684" s="102">
        <v>40574</v>
      </c>
      <c r="B684" s="87">
        <v>304</v>
      </c>
      <c r="C684" s="88">
        <v>30736</v>
      </c>
    </row>
    <row r="685" spans="1:3">
      <c r="A685" s="102">
        <v>40575</v>
      </c>
      <c r="B685" s="87">
        <v>1</v>
      </c>
      <c r="C685" s="88">
        <v>27303</v>
      </c>
    </row>
    <row r="686" spans="1:3">
      <c r="A686" s="102">
        <v>40576</v>
      </c>
      <c r="B686" s="87">
        <v>0</v>
      </c>
      <c r="C686" s="88">
        <v>25047</v>
      </c>
    </row>
    <row r="687" spans="1:3">
      <c r="A687" s="102">
        <v>40577</v>
      </c>
      <c r="B687" s="87">
        <v>0</v>
      </c>
      <c r="C687" s="88">
        <v>30097</v>
      </c>
    </row>
    <row r="688" spans="1:3">
      <c r="A688" s="102">
        <v>40578</v>
      </c>
      <c r="B688" s="87">
        <v>2</v>
      </c>
      <c r="C688" s="88">
        <v>71446</v>
      </c>
    </row>
    <row r="689" spans="1:3">
      <c r="A689" s="102">
        <v>40581</v>
      </c>
      <c r="B689" s="87">
        <v>600</v>
      </c>
      <c r="C689" s="88">
        <v>137065</v>
      </c>
    </row>
    <row r="690" spans="1:3">
      <c r="A690" s="102">
        <v>40582</v>
      </c>
      <c r="B690" s="87">
        <v>115</v>
      </c>
      <c r="C690" s="88">
        <v>57246</v>
      </c>
    </row>
    <row r="691" spans="1:3">
      <c r="A691" s="102">
        <v>40583</v>
      </c>
      <c r="B691" s="87">
        <v>944</v>
      </c>
      <c r="C691" s="88">
        <v>13584</v>
      </c>
    </row>
    <row r="692" spans="1:3">
      <c r="A692" s="102">
        <v>40584</v>
      </c>
      <c r="B692" s="87">
        <v>921</v>
      </c>
      <c r="C692" s="88">
        <v>14654</v>
      </c>
    </row>
    <row r="693" spans="1:3">
      <c r="A693" s="102">
        <v>40585</v>
      </c>
      <c r="B693" s="87">
        <v>656</v>
      </c>
      <c r="C693" s="88">
        <v>17029</v>
      </c>
    </row>
    <row r="694" spans="1:3">
      <c r="A694" s="102">
        <v>40588</v>
      </c>
      <c r="B694" s="87">
        <v>1130</v>
      </c>
      <c r="C694" s="88">
        <v>20492</v>
      </c>
    </row>
    <row r="695" spans="1:3">
      <c r="A695" s="102">
        <v>40589</v>
      </c>
      <c r="B695" s="87">
        <v>1219</v>
      </c>
      <c r="C695" s="88">
        <v>17927</v>
      </c>
    </row>
    <row r="696" spans="1:3">
      <c r="A696" s="102">
        <v>40590</v>
      </c>
      <c r="B696" s="87">
        <v>15801</v>
      </c>
      <c r="C696" s="88">
        <v>14723</v>
      </c>
    </row>
    <row r="697" spans="1:3">
      <c r="A697" s="102">
        <v>40591</v>
      </c>
      <c r="B697" s="87">
        <v>16009</v>
      </c>
      <c r="C697" s="88">
        <v>18761</v>
      </c>
    </row>
    <row r="698" spans="1:3">
      <c r="A698" s="102">
        <v>40592</v>
      </c>
      <c r="B698" s="87">
        <v>14173</v>
      </c>
      <c r="C698" s="88">
        <v>34482</v>
      </c>
    </row>
    <row r="699" spans="1:3">
      <c r="A699" s="102">
        <v>40595</v>
      </c>
      <c r="B699" s="87">
        <v>14050</v>
      </c>
      <c r="C699" s="88">
        <v>26495</v>
      </c>
    </row>
    <row r="700" spans="1:3">
      <c r="A700" s="102">
        <v>40596</v>
      </c>
      <c r="B700" s="87">
        <v>14597</v>
      </c>
      <c r="C700" s="88">
        <v>25476</v>
      </c>
    </row>
    <row r="701" spans="1:3">
      <c r="A701" s="102">
        <v>40597</v>
      </c>
      <c r="B701" s="87">
        <v>14921</v>
      </c>
      <c r="C701" s="88">
        <v>18868</v>
      </c>
    </row>
    <row r="702" spans="1:3">
      <c r="A702" s="102">
        <v>40598</v>
      </c>
      <c r="B702" s="87">
        <v>2210</v>
      </c>
      <c r="C702" s="88">
        <v>15962</v>
      </c>
    </row>
    <row r="703" spans="1:3">
      <c r="A703" s="102">
        <v>40599</v>
      </c>
      <c r="B703" s="87">
        <v>17115</v>
      </c>
      <c r="C703" s="88">
        <v>24718</v>
      </c>
    </row>
    <row r="704" spans="1:3">
      <c r="A704" s="102">
        <v>40602</v>
      </c>
      <c r="B704" s="87">
        <v>16332</v>
      </c>
      <c r="C704" s="88">
        <v>28755</v>
      </c>
    </row>
    <row r="705" spans="1:3">
      <c r="A705" s="102">
        <v>40603</v>
      </c>
      <c r="B705" s="87">
        <v>15104</v>
      </c>
      <c r="C705" s="88">
        <v>26882</v>
      </c>
    </row>
    <row r="706" spans="1:3">
      <c r="A706" s="102">
        <v>40604</v>
      </c>
      <c r="B706" s="87">
        <v>1246</v>
      </c>
      <c r="C706" s="87">
        <v>33847</v>
      </c>
    </row>
    <row r="707" spans="1:3">
      <c r="A707" s="102">
        <v>40605</v>
      </c>
      <c r="B707" s="87">
        <v>515</v>
      </c>
      <c r="C707" s="87">
        <v>43260</v>
      </c>
    </row>
    <row r="708" spans="1:3">
      <c r="A708" s="102">
        <v>40606</v>
      </c>
      <c r="B708" s="87">
        <v>758</v>
      </c>
      <c r="C708" s="87">
        <v>43179</v>
      </c>
    </row>
    <row r="709" spans="1:3">
      <c r="A709" s="102">
        <v>40609</v>
      </c>
      <c r="B709" s="87">
        <v>309</v>
      </c>
      <c r="C709" s="87">
        <v>36212</v>
      </c>
    </row>
    <row r="710" spans="1:3">
      <c r="A710" s="102">
        <v>40610</v>
      </c>
      <c r="B710" s="87">
        <v>243</v>
      </c>
      <c r="C710" s="87">
        <v>40237</v>
      </c>
    </row>
    <row r="711" spans="1:3">
      <c r="A711" s="102">
        <v>40611</v>
      </c>
      <c r="B711" s="87">
        <v>50</v>
      </c>
      <c r="C711" s="87">
        <v>10286</v>
      </c>
    </row>
    <row r="712" spans="1:3">
      <c r="A712" s="102">
        <v>40612</v>
      </c>
      <c r="B712" s="87">
        <v>0</v>
      </c>
      <c r="C712" s="87">
        <v>11713</v>
      </c>
    </row>
    <row r="713" spans="1:3">
      <c r="A713" s="102">
        <v>40613</v>
      </c>
      <c r="B713" s="87">
        <v>36</v>
      </c>
      <c r="C713" s="87">
        <v>15292</v>
      </c>
    </row>
    <row r="714" spans="1:3">
      <c r="A714" s="102">
        <v>40616</v>
      </c>
      <c r="B714" s="87">
        <v>30</v>
      </c>
      <c r="C714" s="87">
        <v>17134</v>
      </c>
    </row>
    <row r="715" spans="1:3">
      <c r="A715" s="102">
        <v>40617</v>
      </c>
      <c r="B715" s="87">
        <v>208</v>
      </c>
      <c r="C715" s="87">
        <v>14756</v>
      </c>
    </row>
    <row r="716" spans="1:3">
      <c r="A716" s="102">
        <v>40618</v>
      </c>
      <c r="B716" s="87">
        <v>193</v>
      </c>
      <c r="C716" s="87">
        <v>16872</v>
      </c>
    </row>
    <row r="717" spans="1:3">
      <c r="A717" s="102">
        <v>40619</v>
      </c>
      <c r="B717" s="87">
        <v>1</v>
      </c>
      <c r="C717" s="87">
        <v>19309</v>
      </c>
    </row>
    <row r="718" spans="1:3">
      <c r="A718" s="102">
        <v>40620</v>
      </c>
      <c r="B718" s="87">
        <v>51</v>
      </c>
      <c r="C718" s="87">
        <v>20150</v>
      </c>
    </row>
    <row r="719" spans="1:3">
      <c r="A719" s="102">
        <v>40623</v>
      </c>
      <c r="B719" s="87">
        <v>450</v>
      </c>
      <c r="C719" s="87">
        <v>20972</v>
      </c>
    </row>
    <row r="720" spans="1:3">
      <c r="A720" s="102">
        <v>40624</v>
      </c>
      <c r="B720" s="87">
        <v>350</v>
      </c>
      <c r="C720" s="87">
        <v>19483</v>
      </c>
    </row>
    <row r="721" spans="1:3">
      <c r="A721" s="102">
        <v>40625</v>
      </c>
      <c r="B721" s="87">
        <v>350</v>
      </c>
      <c r="C721" s="87">
        <v>15585</v>
      </c>
    </row>
    <row r="722" spans="1:3">
      <c r="A722" s="102">
        <v>40626</v>
      </c>
      <c r="B722" s="87">
        <v>1572</v>
      </c>
      <c r="C722" s="87">
        <v>16070</v>
      </c>
    </row>
    <row r="723" spans="1:3">
      <c r="A723" s="102">
        <v>40627</v>
      </c>
      <c r="B723" s="87">
        <v>3390</v>
      </c>
      <c r="C723" s="87">
        <v>19400</v>
      </c>
    </row>
    <row r="724" spans="1:3">
      <c r="A724" s="102">
        <v>40630</v>
      </c>
      <c r="B724" s="87">
        <v>3131</v>
      </c>
      <c r="C724" s="87">
        <v>20923</v>
      </c>
    </row>
    <row r="725" spans="1:3">
      <c r="A725" s="102">
        <v>40631</v>
      </c>
      <c r="B725" s="87">
        <v>2025</v>
      </c>
      <c r="C725" s="87">
        <v>22155</v>
      </c>
    </row>
    <row r="726" spans="1:3">
      <c r="A726" s="102">
        <v>40632</v>
      </c>
      <c r="B726" s="87">
        <v>2837</v>
      </c>
      <c r="C726" s="87">
        <v>26143</v>
      </c>
    </row>
    <row r="727" spans="1:3">
      <c r="A727" s="102">
        <v>40633</v>
      </c>
      <c r="B727" s="87">
        <v>1152</v>
      </c>
      <c r="C727" s="87">
        <v>42085</v>
      </c>
    </row>
    <row r="728" spans="1:3">
      <c r="A728" s="102">
        <v>40634</v>
      </c>
      <c r="B728" s="87">
        <v>737</v>
      </c>
      <c r="C728" s="87">
        <v>26054</v>
      </c>
    </row>
    <row r="729" spans="1:3">
      <c r="A729" s="102">
        <v>40637</v>
      </c>
      <c r="B729" s="87">
        <v>402</v>
      </c>
      <c r="C729" s="87">
        <v>24092</v>
      </c>
    </row>
    <row r="730" spans="1:3">
      <c r="A730" s="102">
        <v>40638</v>
      </c>
      <c r="B730" s="87">
        <v>458</v>
      </c>
      <c r="C730" s="87">
        <v>25680</v>
      </c>
    </row>
    <row r="731" spans="1:3">
      <c r="A731" s="102">
        <v>40639</v>
      </c>
      <c r="B731" s="87">
        <v>796</v>
      </c>
      <c r="C731" s="87">
        <v>25026</v>
      </c>
    </row>
    <row r="732" spans="1:3">
      <c r="A732" s="102">
        <v>40640</v>
      </c>
      <c r="B732" s="87">
        <v>245</v>
      </c>
      <c r="C732" s="87">
        <v>32001</v>
      </c>
    </row>
    <row r="733" spans="1:3">
      <c r="A733" s="102">
        <v>40641</v>
      </c>
      <c r="B733" s="87">
        <v>249</v>
      </c>
      <c r="C733" s="87">
        <v>30522</v>
      </c>
    </row>
    <row r="734" spans="1:3">
      <c r="A734" s="102">
        <v>40644</v>
      </c>
      <c r="B734" s="87">
        <v>141</v>
      </c>
      <c r="C734" s="87">
        <v>40553</v>
      </c>
    </row>
    <row r="735" spans="1:3">
      <c r="A735" s="102">
        <v>40645</v>
      </c>
      <c r="B735" s="87">
        <v>259</v>
      </c>
      <c r="C735" s="87">
        <v>49124</v>
      </c>
    </row>
    <row r="736" spans="1:3">
      <c r="A736" s="102">
        <v>40646</v>
      </c>
      <c r="B736" s="87">
        <v>491</v>
      </c>
      <c r="C736" s="87">
        <v>9176</v>
      </c>
    </row>
    <row r="737" spans="1:3">
      <c r="A737" s="102">
        <v>40647</v>
      </c>
      <c r="B737" s="87">
        <v>388</v>
      </c>
      <c r="C737" s="87">
        <v>8849</v>
      </c>
    </row>
    <row r="738" spans="1:3">
      <c r="A738" s="102">
        <v>40648</v>
      </c>
      <c r="B738" s="87">
        <v>201</v>
      </c>
      <c r="C738" s="87">
        <v>9999</v>
      </c>
    </row>
    <row r="739" spans="1:3">
      <c r="A739" s="102">
        <v>40651</v>
      </c>
      <c r="B739" s="87">
        <v>51</v>
      </c>
      <c r="C739" s="87">
        <v>9474</v>
      </c>
    </row>
    <row r="740" spans="1:3">
      <c r="A740" s="102">
        <v>40652</v>
      </c>
      <c r="B740" s="87">
        <v>0</v>
      </c>
      <c r="C740" s="87">
        <v>9188</v>
      </c>
    </row>
    <row r="741" spans="1:3">
      <c r="A741" s="102">
        <v>40653</v>
      </c>
      <c r="B741" s="87">
        <v>1</v>
      </c>
      <c r="C741" s="87">
        <v>12694</v>
      </c>
    </row>
    <row r="742" spans="1:3">
      <c r="A742" s="102">
        <v>40654</v>
      </c>
      <c r="B742" s="87">
        <v>31</v>
      </c>
      <c r="C742" s="87">
        <v>13104</v>
      </c>
    </row>
    <row r="743" spans="1:3">
      <c r="A743" s="102">
        <v>40659</v>
      </c>
      <c r="B743" s="87">
        <v>710</v>
      </c>
      <c r="C743" s="87">
        <v>12185</v>
      </c>
    </row>
    <row r="744" spans="1:3">
      <c r="A744" s="102">
        <v>40660</v>
      </c>
      <c r="B744" s="87">
        <v>860</v>
      </c>
      <c r="C744" s="87">
        <v>12766</v>
      </c>
    </row>
    <row r="745" spans="1:3">
      <c r="A745" s="102">
        <v>40661</v>
      </c>
      <c r="B745" s="87">
        <v>1797</v>
      </c>
      <c r="C745" s="87">
        <v>16299</v>
      </c>
    </row>
    <row r="746" spans="1:3">
      <c r="A746" s="102">
        <v>40662</v>
      </c>
      <c r="B746" s="87">
        <v>3</v>
      </c>
      <c r="C746" s="87">
        <v>27338</v>
      </c>
    </row>
    <row r="747" spans="1:3">
      <c r="A747" s="102">
        <v>40665</v>
      </c>
      <c r="B747" s="87">
        <v>4</v>
      </c>
      <c r="C747" s="87">
        <v>28602</v>
      </c>
    </row>
    <row r="748" spans="1:3">
      <c r="A748" s="102">
        <v>40666</v>
      </c>
      <c r="B748" s="87">
        <v>81</v>
      </c>
      <c r="C748" s="87">
        <v>20951</v>
      </c>
    </row>
    <row r="749" spans="1:3">
      <c r="A749" s="102">
        <v>40667</v>
      </c>
      <c r="B749" s="87">
        <v>18</v>
      </c>
      <c r="C749" s="87">
        <v>18387</v>
      </c>
    </row>
    <row r="750" spans="1:3">
      <c r="A750" s="102">
        <v>40668</v>
      </c>
      <c r="B750" s="87">
        <v>90</v>
      </c>
      <c r="C750" s="87">
        <v>28639</v>
      </c>
    </row>
    <row r="751" spans="1:3">
      <c r="A751" s="102">
        <v>40669</v>
      </c>
      <c r="B751" s="87">
        <v>7</v>
      </c>
      <c r="C751" s="87">
        <v>54244</v>
      </c>
    </row>
    <row r="752" spans="1:3">
      <c r="A752" s="102">
        <v>40672</v>
      </c>
      <c r="B752" s="87">
        <v>10</v>
      </c>
      <c r="C752" s="87">
        <v>64965</v>
      </c>
    </row>
    <row r="753" spans="1:3">
      <c r="A753" s="102">
        <v>40673</v>
      </c>
      <c r="B753" s="87">
        <v>4564</v>
      </c>
      <c r="C753" s="87">
        <v>44567</v>
      </c>
    </row>
    <row r="754" spans="1:3">
      <c r="A754" s="102">
        <v>40674</v>
      </c>
      <c r="B754" s="87">
        <v>182</v>
      </c>
      <c r="C754" s="87">
        <v>13091</v>
      </c>
    </row>
    <row r="755" spans="1:3">
      <c r="A755" s="102">
        <v>40675</v>
      </c>
      <c r="B755" s="87">
        <v>8</v>
      </c>
      <c r="C755" s="87">
        <v>11993</v>
      </c>
    </row>
    <row r="756" spans="1:3">
      <c r="A756" s="102">
        <v>40676</v>
      </c>
      <c r="B756" s="87">
        <v>104</v>
      </c>
      <c r="C756" s="87">
        <v>12106</v>
      </c>
    </row>
    <row r="757" spans="1:3">
      <c r="A757" s="102">
        <v>40679</v>
      </c>
      <c r="B757" s="87">
        <v>6</v>
      </c>
      <c r="C757" s="87">
        <v>19333</v>
      </c>
    </row>
    <row r="758" spans="1:3">
      <c r="A758" s="102">
        <v>40680</v>
      </c>
      <c r="B758" s="87">
        <v>13</v>
      </c>
      <c r="C758" s="87">
        <v>19991</v>
      </c>
    </row>
    <row r="759" spans="1:3">
      <c r="A759" s="102">
        <v>40681</v>
      </c>
      <c r="B759" s="87">
        <v>4</v>
      </c>
      <c r="C759" s="87">
        <v>16460</v>
      </c>
    </row>
    <row r="760" spans="1:3">
      <c r="A760" s="102">
        <v>40682</v>
      </c>
      <c r="B760" s="87">
        <v>6</v>
      </c>
      <c r="C760" s="87">
        <v>15174</v>
      </c>
    </row>
    <row r="761" spans="1:3">
      <c r="A761" s="102">
        <v>40683</v>
      </c>
      <c r="B761" s="87">
        <v>35</v>
      </c>
      <c r="C761" s="87">
        <v>17801</v>
      </c>
    </row>
    <row r="762" spans="1:3">
      <c r="A762" s="102">
        <v>40686</v>
      </c>
      <c r="B762" s="87">
        <v>12</v>
      </c>
      <c r="C762" s="87">
        <v>20441</v>
      </c>
    </row>
    <row r="763" spans="1:3">
      <c r="A763" s="102">
        <v>40687</v>
      </c>
      <c r="B763" s="87">
        <v>2</v>
      </c>
      <c r="C763" s="87">
        <v>19842</v>
      </c>
    </row>
    <row r="764" spans="1:3">
      <c r="A764" s="102">
        <v>40688</v>
      </c>
      <c r="B764" s="87">
        <v>151</v>
      </c>
      <c r="C764" s="87">
        <v>17520</v>
      </c>
    </row>
    <row r="765" spans="1:3">
      <c r="A765" s="102">
        <v>40689</v>
      </c>
      <c r="B765" s="87">
        <v>11</v>
      </c>
      <c r="C765" s="87">
        <v>15627</v>
      </c>
    </row>
    <row r="766" spans="1:3">
      <c r="A766" s="102">
        <v>40690</v>
      </c>
      <c r="B766" s="87">
        <v>82</v>
      </c>
      <c r="C766" s="87">
        <v>19382</v>
      </c>
    </row>
    <row r="767" spans="1:3">
      <c r="A767" s="102">
        <v>40693</v>
      </c>
      <c r="B767" s="87">
        <v>93</v>
      </c>
      <c r="C767" s="87">
        <v>20886</v>
      </c>
    </row>
    <row r="768" spans="1:3">
      <c r="A768" s="102">
        <v>40694</v>
      </c>
      <c r="B768" s="87">
        <v>55</v>
      </c>
      <c r="C768" s="87">
        <v>28340</v>
      </c>
    </row>
    <row r="769" spans="1:3">
      <c r="A769" s="102">
        <v>40695</v>
      </c>
      <c r="B769" s="87">
        <v>220</v>
      </c>
      <c r="C769" s="87">
        <v>20174</v>
      </c>
    </row>
    <row r="770" spans="1:3">
      <c r="A770" s="102">
        <v>40696</v>
      </c>
      <c r="B770" s="87">
        <v>1</v>
      </c>
      <c r="C770" s="87">
        <v>20229</v>
      </c>
    </row>
    <row r="771" spans="1:3">
      <c r="A771" s="102">
        <v>40697</v>
      </c>
      <c r="B771" s="87">
        <v>0</v>
      </c>
      <c r="C771" s="87">
        <v>20425</v>
      </c>
    </row>
    <row r="772" spans="1:3">
      <c r="A772" s="102">
        <v>40700</v>
      </c>
      <c r="B772" s="87">
        <v>2</v>
      </c>
      <c r="C772" s="87">
        <v>22074</v>
      </c>
    </row>
    <row r="773" spans="1:3">
      <c r="A773" s="102">
        <v>40701</v>
      </c>
      <c r="B773" s="87">
        <v>40</v>
      </c>
      <c r="C773" s="87">
        <v>17289</v>
      </c>
    </row>
    <row r="774" spans="1:3">
      <c r="A774" s="102">
        <v>40702</v>
      </c>
      <c r="B774" s="87">
        <v>14</v>
      </c>
      <c r="C774" s="87">
        <v>13642</v>
      </c>
    </row>
    <row r="775" spans="1:3">
      <c r="A775" s="102">
        <v>40703</v>
      </c>
      <c r="B775" s="87">
        <v>34</v>
      </c>
      <c r="C775" s="87">
        <v>12085</v>
      </c>
    </row>
    <row r="776" spans="1:3">
      <c r="A776" s="102">
        <v>40704</v>
      </c>
      <c r="B776" s="87">
        <v>42</v>
      </c>
      <c r="C776" s="87">
        <v>10409</v>
      </c>
    </row>
    <row r="777" spans="1:3">
      <c r="A777" s="102">
        <v>40707</v>
      </c>
      <c r="B777" s="87">
        <v>7</v>
      </c>
      <c r="C777" s="87">
        <v>28261</v>
      </c>
    </row>
    <row r="778" spans="1:3">
      <c r="A778" s="102">
        <v>40708</v>
      </c>
      <c r="B778" s="87">
        <v>26</v>
      </c>
      <c r="C778" s="87">
        <v>51111</v>
      </c>
    </row>
    <row r="779" spans="1:3">
      <c r="A779" s="102">
        <v>40709</v>
      </c>
      <c r="B779" s="87">
        <v>27</v>
      </c>
      <c r="C779" s="87">
        <v>4981</v>
      </c>
    </row>
    <row r="780" spans="1:3">
      <c r="A780" s="102">
        <v>40710</v>
      </c>
      <c r="B780" s="87">
        <v>643</v>
      </c>
      <c r="C780" s="87">
        <v>5109</v>
      </c>
    </row>
    <row r="781" spans="1:3">
      <c r="A781" s="102">
        <v>40711</v>
      </c>
      <c r="B781" s="87">
        <v>5</v>
      </c>
      <c r="C781" s="87">
        <v>5371</v>
      </c>
    </row>
    <row r="782" spans="1:3">
      <c r="A782" s="102">
        <v>40714</v>
      </c>
      <c r="B782" s="87">
        <v>5</v>
      </c>
      <c r="C782" s="87">
        <v>6794</v>
      </c>
    </row>
    <row r="783" spans="1:3">
      <c r="A783" s="102">
        <v>40715</v>
      </c>
      <c r="B783" s="87">
        <v>6</v>
      </c>
      <c r="C783" s="87">
        <v>7194</v>
      </c>
    </row>
    <row r="784" spans="1:3">
      <c r="A784" s="102">
        <v>40716</v>
      </c>
      <c r="B784" s="87">
        <v>212</v>
      </c>
      <c r="C784" s="87">
        <v>9977</v>
      </c>
    </row>
    <row r="785" spans="1:3">
      <c r="A785" s="102">
        <v>40717</v>
      </c>
      <c r="B785" s="87">
        <v>230</v>
      </c>
      <c r="C785" s="87">
        <v>11405</v>
      </c>
    </row>
    <row r="786" spans="1:3">
      <c r="A786" s="102">
        <v>40718</v>
      </c>
      <c r="B786" s="87">
        <v>213</v>
      </c>
      <c r="C786" s="87">
        <v>13189</v>
      </c>
    </row>
    <row r="787" spans="1:3">
      <c r="A787" s="102">
        <v>40721</v>
      </c>
      <c r="B787" s="87">
        <v>306</v>
      </c>
      <c r="C787" s="87">
        <v>22371</v>
      </c>
    </row>
    <row r="788" spans="1:3">
      <c r="A788" s="102">
        <v>40722</v>
      </c>
      <c r="B788" s="87">
        <v>207</v>
      </c>
      <c r="C788" s="87">
        <v>23365</v>
      </c>
    </row>
    <row r="789" spans="1:3">
      <c r="A789" s="102">
        <v>40723</v>
      </c>
      <c r="B789" s="87">
        <v>28</v>
      </c>
      <c r="C789" s="87">
        <v>18793</v>
      </c>
    </row>
    <row r="790" spans="1:3">
      <c r="A790" s="102">
        <v>40724</v>
      </c>
      <c r="B790" s="87">
        <v>1203</v>
      </c>
      <c r="C790" s="87">
        <v>34561</v>
      </c>
    </row>
    <row r="791" spans="1:3">
      <c r="A791" s="102">
        <v>40725</v>
      </c>
      <c r="B791" s="87">
        <v>504</v>
      </c>
      <c r="C791" s="87">
        <v>24902</v>
      </c>
    </row>
    <row r="792" spans="1:3">
      <c r="A792" s="102">
        <v>40728</v>
      </c>
      <c r="B792" s="87">
        <v>405</v>
      </c>
      <c r="C792" s="87">
        <v>40847</v>
      </c>
    </row>
    <row r="793" spans="1:3">
      <c r="A793" s="102">
        <v>40729</v>
      </c>
      <c r="B793" s="87">
        <v>407</v>
      </c>
      <c r="C793" s="87">
        <v>44674</v>
      </c>
    </row>
    <row r="794" spans="1:3">
      <c r="A794" s="102">
        <v>40730</v>
      </c>
      <c r="B794" s="87">
        <v>6</v>
      </c>
      <c r="C794" s="87">
        <v>57043</v>
      </c>
    </row>
    <row r="795" spans="1:3">
      <c r="A795" s="102">
        <v>40731</v>
      </c>
      <c r="B795" s="87">
        <v>7</v>
      </c>
      <c r="C795" s="87">
        <v>61426</v>
      </c>
    </row>
    <row r="796" spans="1:3">
      <c r="A796" s="102">
        <v>40732</v>
      </c>
      <c r="B796" s="87">
        <v>6</v>
      </c>
      <c r="C796" s="87">
        <v>65687</v>
      </c>
    </row>
    <row r="797" spans="1:3">
      <c r="A797" s="102">
        <v>40735</v>
      </c>
      <c r="B797" s="87">
        <v>329</v>
      </c>
      <c r="C797" s="87">
        <v>90544</v>
      </c>
    </row>
    <row r="798" spans="1:3">
      <c r="A798" s="102">
        <v>40736</v>
      </c>
      <c r="B798" s="87">
        <v>16</v>
      </c>
      <c r="C798" s="87">
        <v>60429</v>
      </c>
    </row>
    <row r="799" spans="1:3">
      <c r="A799" s="102">
        <v>40737</v>
      </c>
      <c r="B799" s="87">
        <v>97</v>
      </c>
      <c r="C799" s="87">
        <v>9507</v>
      </c>
    </row>
    <row r="800" spans="1:3">
      <c r="A800" s="102">
        <v>40738</v>
      </c>
      <c r="B800" s="87">
        <v>55</v>
      </c>
      <c r="C800" s="87">
        <v>13263</v>
      </c>
    </row>
    <row r="801" spans="1:3">
      <c r="A801" s="102">
        <v>40739</v>
      </c>
      <c r="B801" s="87">
        <v>29</v>
      </c>
      <c r="C801" s="87">
        <v>10254</v>
      </c>
    </row>
    <row r="802" spans="1:3">
      <c r="A802" s="102">
        <v>40742</v>
      </c>
      <c r="B802" s="87">
        <v>87</v>
      </c>
      <c r="C802" s="87">
        <v>11655</v>
      </c>
    </row>
    <row r="803" spans="1:3">
      <c r="A803" s="102">
        <v>40743</v>
      </c>
      <c r="B803" s="87">
        <v>3</v>
      </c>
      <c r="C803" s="87">
        <v>17160</v>
      </c>
    </row>
    <row r="804" spans="1:3">
      <c r="A804" s="102">
        <v>40744</v>
      </c>
      <c r="B804" s="87">
        <v>102</v>
      </c>
      <c r="C804" s="87">
        <v>33868</v>
      </c>
    </row>
    <row r="805" spans="1:3">
      <c r="A805" s="102">
        <v>40745</v>
      </c>
      <c r="B805" s="87">
        <v>96</v>
      </c>
      <c r="C805" s="87">
        <v>28679</v>
      </c>
    </row>
    <row r="806" spans="1:3">
      <c r="A806" s="102">
        <v>40746</v>
      </c>
      <c r="B806" s="87">
        <v>0</v>
      </c>
      <c r="C806" s="87">
        <v>32167</v>
      </c>
    </row>
    <row r="807" spans="1:3">
      <c r="A807" s="102">
        <v>40749</v>
      </c>
      <c r="B807" s="87">
        <v>24</v>
      </c>
      <c r="C807" s="87">
        <v>35595</v>
      </c>
    </row>
    <row r="808" spans="1:3">
      <c r="A808" s="102">
        <v>40750</v>
      </c>
      <c r="B808" s="87">
        <v>0</v>
      </c>
      <c r="C808" s="87">
        <v>31789</v>
      </c>
    </row>
    <row r="809" spans="1:3">
      <c r="A809" s="102">
        <v>40751</v>
      </c>
      <c r="B809" s="87">
        <v>366</v>
      </c>
      <c r="C809" s="87">
        <v>39099</v>
      </c>
    </row>
    <row r="810" spans="1:3">
      <c r="A810" s="102">
        <v>40752</v>
      </c>
      <c r="B810" s="87">
        <v>21</v>
      </c>
      <c r="C810" s="87">
        <v>46977</v>
      </c>
    </row>
    <row r="811" spans="1:3">
      <c r="A811" s="102">
        <v>40753</v>
      </c>
      <c r="B811" s="87">
        <v>28</v>
      </c>
      <c r="C811" s="87">
        <v>49867</v>
      </c>
    </row>
    <row r="812" spans="1:3">
      <c r="A812" s="102">
        <v>40756</v>
      </c>
      <c r="B812" s="87">
        <v>1156</v>
      </c>
      <c r="C812" s="87">
        <v>86605</v>
      </c>
    </row>
    <row r="813" spans="1:3">
      <c r="A813" s="102">
        <v>40757</v>
      </c>
      <c r="B813" s="87">
        <v>9</v>
      </c>
      <c r="C813" s="87">
        <v>104889</v>
      </c>
    </row>
    <row r="814" spans="1:3">
      <c r="A814" s="102">
        <v>40758</v>
      </c>
      <c r="B814" s="87">
        <v>0</v>
      </c>
      <c r="C814" s="87">
        <v>121740</v>
      </c>
    </row>
    <row r="815" spans="1:3">
      <c r="A815" s="102">
        <v>40759</v>
      </c>
      <c r="B815" s="87">
        <v>0</v>
      </c>
      <c r="C815" s="87">
        <v>117763</v>
      </c>
    </row>
    <row r="816" spans="1:3">
      <c r="A816" s="102">
        <v>40760</v>
      </c>
      <c r="B816" s="87">
        <v>0</v>
      </c>
      <c r="C816" s="87">
        <v>134825</v>
      </c>
    </row>
    <row r="817" spans="1:3">
      <c r="A817" s="102">
        <v>40763</v>
      </c>
      <c r="B817" s="87">
        <v>2</v>
      </c>
      <c r="C817" s="87">
        <v>145217</v>
      </c>
    </row>
    <row r="818" spans="1:3">
      <c r="A818" s="102">
        <v>40764</v>
      </c>
      <c r="B818" s="87">
        <v>147</v>
      </c>
      <c r="C818" s="87">
        <v>62514</v>
      </c>
    </row>
    <row r="819" spans="1:3">
      <c r="A819" s="102">
        <v>40765</v>
      </c>
      <c r="B819" s="87">
        <v>4058</v>
      </c>
      <c r="C819" s="87">
        <v>39561</v>
      </c>
    </row>
    <row r="820" spans="1:3">
      <c r="A820" s="102">
        <v>40766</v>
      </c>
      <c r="B820" s="87">
        <v>227</v>
      </c>
      <c r="C820" s="87">
        <v>67044</v>
      </c>
    </row>
    <row r="821" spans="1:3">
      <c r="A821" s="102">
        <v>40767</v>
      </c>
      <c r="B821" s="87">
        <v>6</v>
      </c>
      <c r="C821" s="87">
        <v>80214</v>
      </c>
    </row>
    <row r="822" spans="1:3">
      <c r="A822" s="102">
        <v>40770</v>
      </c>
      <c r="B822" s="87">
        <v>1259</v>
      </c>
      <c r="C822" s="87">
        <v>76443</v>
      </c>
    </row>
    <row r="823" spans="1:3">
      <c r="A823" s="102">
        <v>40771</v>
      </c>
      <c r="B823" s="87">
        <v>3</v>
      </c>
      <c r="C823" s="87">
        <v>84852</v>
      </c>
    </row>
    <row r="824" spans="1:3">
      <c r="A824" s="102">
        <v>40772</v>
      </c>
      <c r="B824" s="87">
        <v>212</v>
      </c>
      <c r="C824" s="87">
        <v>82194</v>
      </c>
    </row>
    <row r="825" spans="1:3">
      <c r="A825" s="102">
        <v>40773</v>
      </c>
      <c r="B825" s="87">
        <v>107</v>
      </c>
      <c r="C825" s="87">
        <v>90523</v>
      </c>
    </row>
    <row r="826" spans="1:3">
      <c r="A826" s="102">
        <v>40774</v>
      </c>
      <c r="B826" s="87">
        <v>90</v>
      </c>
      <c r="C826" s="87">
        <v>105911</v>
      </c>
    </row>
    <row r="827" spans="1:3">
      <c r="A827" s="102">
        <v>40777</v>
      </c>
      <c r="B827" s="87">
        <v>555</v>
      </c>
      <c r="C827" s="87">
        <v>128719</v>
      </c>
    </row>
    <row r="828" spans="1:3">
      <c r="A828" s="102">
        <v>40778</v>
      </c>
      <c r="B828" s="87">
        <v>2822</v>
      </c>
      <c r="C828" s="87">
        <v>126358</v>
      </c>
    </row>
    <row r="829" spans="1:3">
      <c r="A829" s="102">
        <v>40779</v>
      </c>
      <c r="B829" s="87">
        <v>42</v>
      </c>
      <c r="C829" s="87">
        <v>110434</v>
      </c>
    </row>
    <row r="830" spans="1:3">
      <c r="A830" s="102">
        <v>40780</v>
      </c>
      <c r="B830" s="87">
        <v>1</v>
      </c>
      <c r="C830" s="87">
        <v>103977</v>
      </c>
    </row>
    <row r="831" spans="1:3">
      <c r="A831" s="102">
        <v>40781</v>
      </c>
      <c r="B831" s="87">
        <v>0</v>
      </c>
      <c r="C831" s="87">
        <v>121190</v>
      </c>
    </row>
    <row r="832" spans="1:3">
      <c r="A832" s="102">
        <v>40784</v>
      </c>
      <c r="B832" s="87">
        <v>19</v>
      </c>
      <c r="C832" s="87">
        <v>120319</v>
      </c>
    </row>
    <row r="833" spans="1:3">
      <c r="A833" s="102">
        <v>40785</v>
      </c>
      <c r="B833" s="87">
        <v>14</v>
      </c>
      <c r="C833" s="87">
        <v>125760</v>
      </c>
    </row>
    <row r="834" spans="1:3">
      <c r="A834" s="102">
        <v>40786</v>
      </c>
      <c r="B834" s="87">
        <v>18</v>
      </c>
      <c r="C834" s="87">
        <v>117352</v>
      </c>
    </row>
    <row r="835" spans="1:3">
      <c r="A835" s="102">
        <v>40787</v>
      </c>
      <c r="B835" s="87">
        <v>18</v>
      </c>
      <c r="C835" s="87">
        <v>120956</v>
      </c>
    </row>
    <row r="836" spans="1:3">
      <c r="A836" s="102">
        <v>40788</v>
      </c>
      <c r="B836" s="87">
        <v>14</v>
      </c>
      <c r="C836" s="87">
        <v>151097</v>
      </c>
    </row>
    <row r="837" spans="1:3">
      <c r="A837" s="102">
        <v>40791</v>
      </c>
      <c r="B837" s="87">
        <v>8</v>
      </c>
      <c r="C837" s="87">
        <v>166848</v>
      </c>
    </row>
    <row r="838" spans="1:3">
      <c r="A838" s="102">
        <v>40792</v>
      </c>
      <c r="B838" s="87">
        <v>119</v>
      </c>
      <c r="C838" s="87">
        <v>169640</v>
      </c>
    </row>
    <row r="839" spans="1:3">
      <c r="A839" s="102">
        <v>40793</v>
      </c>
      <c r="B839" s="87">
        <v>86</v>
      </c>
      <c r="C839" s="87">
        <v>166118</v>
      </c>
    </row>
    <row r="840" spans="1:3">
      <c r="A840" s="102">
        <v>40794</v>
      </c>
      <c r="B840" s="87">
        <v>83</v>
      </c>
      <c r="C840" s="87">
        <v>172864</v>
      </c>
    </row>
    <row r="841" spans="1:3">
      <c r="A841" s="102">
        <v>40795</v>
      </c>
      <c r="B841" s="87">
        <v>20</v>
      </c>
      <c r="C841" s="87">
        <v>181788</v>
      </c>
    </row>
    <row r="842" spans="1:3">
      <c r="A842" s="102">
        <v>40798</v>
      </c>
      <c r="B842" s="87">
        <v>82</v>
      </c>
      <c r="C842" s="87">
        <v>197750</v>
      </c>
    </row>
    <row r="843" spans="1:3">
      <c r="A843" s="102">
        <v>40799</v>
      </c>
      <c r="B843" s="87">
        <v>399</v>
      </c>
      <c r="C843" s="87">
        <v>75529</v>
      </c>
    </row>
    <row r="844" spans="1:3">
      <c r="A844" s="102">
        <v>40800</v>
      </c>
      <c r="B844" s="87">
        <v>3386</v>
      </c>
      <c r="C844" s="87">
        <v>85952</v>
      </c>
    </row>
    <row r="845" spans="1:3">
      <c r="A845" s="102">
        <v>40801</v>
      </c>
      <c r="B845" s="87">
        <v>950</v>
      </c>
      <c r="C845" s="87">
        <v>97990</v>
      </c>
    </row>
    <row r="846" spans="1:3">
      <c r="A846" s="102">
        <v>40802</v>
      </c>
      <c r="B846" s="87">
        <v>1215</v>
      </c>
      <c r="C846" s="87">
        <v>111514</v>
      </c>
    </row>
    <row r="847" spans="1:3">
      <c r="A847" s="102">
        <v>40805</v>
      </c>
      <c r="B847" s="87">
        <v>1035</v>
      </c>
      <c r="C847" s="87">
        <v>144806</v>
      </c>
    </row>
    <row r="848" spans="1:3">
      <c r="A848" s="102">
        <v>40806</v>
      </c>
      <c r="B848" s="87">
        <v>1058</v>
      </c>
      <c r="C848" s="87">
        <v>114721</v>
      </c>
    </row>
    <row r="849" spans="1:3">
      <c r="A849" s="102">
        <v>40807</v>
      </c>
      <c r="B849" s="87">
        <v>179</v>
      </c>
      <c r="C849" s="87">
        <v>121445</v>
      </c>
    </row>
    <row r="850" spans="1:3">
      <c r="A850" s="102">
        <v>40808</v>
      </c>
      <c r="B850" s="87">
        <v>324</v>
      </c>
      <c r="C850" s="87">
        <v>136545</v>
      </c>
    </row>
    <row r="851" spans="1:3">
      <c r="A851" s="102">
        <v>40809</v>
      </c>
      <c r="B851" s="87">
        <v>475</v>
      </c>
      <c r="C851" s="87">
        <v>150651</v>
      </c>
    </row>
    <row r="852" spans="1:3">
      <c r="A852" s="102">
        <v>40812</v>
      </c>
      <c r="B852" s="87">
        <v>711</v>
      </c>
      <c r="C852" s="87">
        <v>165118</v>
      </c>
    </row>
    <row r="853" spans="1:3">
      <c r="A853" s="102">
        <v>40813</v>
      </c>
      <c r="B853" s="87">
        <v>726</v>
      </c>
      <c r="C853" s="87">
        <v>164127</v>
      </c>
    </row>
    <row r="854" spans="1:3">
      <c r="A854" s="102">
        <v>40814</v>
      </c>
      <c r="B854" s="87">
        <v>426</v>
      </c>
      <c r="C854" s="87">
        <v>173239</v>
      </c>
    </row>
    <row r="855" spans="1:3">
      <c r="A855" s="102">
        <v>40815</v>
      </c>
      <c r="B855" s="87">
        <v>765</v>
      </c>
      <c r="C855" s="87">
        <v>161415</v>
      </c>
    </row>
    <row r="856" spans="1:3">
      <c r="A856" s="102">
        <v>40816</v>
      </c>
      <c r="B856" s="87">
        <v>1414</v>
      </c>
      <c r="C856" s="87">
        <v>199639</v>
      </c>
    </row>
    <row r="857" spans="1:3">
      <c r="A857" s="102">
        <v>40819</v>
      </c>
      <c r="B857" s="87">
        <v>1318</v>
      </c>
      <c r="C857" s="87">
        <v>209275</v>
      </c>
    </row>
    <row r="858" spans="1:3">
      <c r="A858" s="102">
        <v>40820</v>
      </c>
      <c r="B858" s="87">
        <v>1361</v>
      </c>
      <c r="C858" s="87">
        <v>213206</v>
      </c>
    </row>
    <row r="859" spans="1:3">
      <c r="A859" s="102">
        <v>40821</v>
      </c>
      <c r="B859" s="87">
        <v>3153</v>
      </c>
      <c r="C859" s="87">
        <v>221353</v>
      </c>
    </row>
    <row r="860" spans="1:3">
      <c r="A860" s="102">
        <v>40822</v>
      </c>
      <c r="B860" s="87">
        <v>1846</v>
      </c>
      <c r="C860" s="87">
        <v>229003</v>
      </c>
    </row>
    <row r="861" spans="1:3">
      <c r="A861" s="102">
        <v>40823</v>
      </c>
      <c r="B861" s="87">
        <v>2837</v>
      </c>
      <c r="C861" s="87">
        <v>255569</v>
      </c>
    </row>
    <row r="862" spans="1:3">
      <c r="A862" s="102">
        <v>40826</v>
      </c>
      <c r="B862" s="87">
        <v>2870</v>
      </c>
      <c r="C862" s="87">
        <v>269228</v>
      </c>
    </row>
    <row r="863" spans="1:3">
      <c r="A863" s="102">
        <v>40827</v>
      </c>
      <c r="B863" s="87">
        <v>4159</v>
      </c>
      <c r="C863" s="87">
        <v>62224</v>
      </c>
    </row>
    <row r="864" spans="1:3">
      <c r="A864" s="102">
        <v>40828</v>
      </c>
      <c r="B864" s="87">
        <v>2968</v>
      </c>
      <c r="C864" s="87">
        <v>105460</v>
      </c>
    </row>
    <row r="865" spans="1:3">
      <c r="A865" s="102">
        <v>40829</v>
      </c>
      <c r="B865" s="87">
        <v>2935</v>
      </c>
      <c r="C865" s="87">
        <v>123195</v>
      </c>
    </row>
    <row r="866" spans="1:3">
      <c r="A866" s="102">
        <v>40830</v>
      </c>
      <c r="B866" s="87">
        <v>2166</v>
      </c>
      <c r="C866" s="87">
        <v>136194</v>
      </c>
    </row>
    <row r="867" spans="1:3">
      <c r="A867" s="102">
        <v>40833</v>
      </c>
      <c r="B867" s="87">
        <v>2389</v>
      </c>
      <c r="C867" s="87">
        <v>164966</v>
      </c>
    </row>
    <row r="868" spans="1:3">
      <c r="A868" s="102">
        <v>40834</v>
      </c>
      <c r="B868" s="87">
        <v>4821</v>
      </c>
      <c r="C868" s="87">
        <v>171065</v>
      </c>
    </row>
    <row r="869" spans="1:3">
      <c r="A869" s="102">
        <v>40835</v>
      </c>
      <c r="B869" s="87">
        <v>2279</v>
      </c>
      <c r="C869" s="87">
        <v>181867</v>
      </c>
    </row>
    <row r="870" spans="1:3">
      <c r="A870" s="102">
        <v>40836</v>
      </c>
      <c r="B870" s="87">
        <v>2181</v>
      </c>
      <c r="C870" s="87">
        <v>188142</v>
      </c>
    </row>
    <row r="871" spans="1:3">
      <c r="A871" s="102">
        <v>40837</v>
      </c>
      <c r="B871" s="87">
        <v>4562</v>
      </c>
      <c r="C871" s="87">
        <v>202098</v>
      </c>
    </row>
    <row r="872" spans="1:3">
      <c r="A872" s="102">
        <v>40840</v>
      </c>
      <c r="B872" s="87">
        <v>4007</v>
      </c>
      <c r="C872" s="87">
        <v>198014</v>
      </c>
    </row>
    <row r="873" spans="1:3">
      <c r="A873" s="102">
        <v>40841</v>
      </c>
      <c r="B873" s="87">
        <v>3500</v>
      </c>
      <c r="C873" s="87">
        <v>200946</v>
      </c>
    </row>
    <row r="874" spans="1:3">
      <c r="A874" s="102">
        <v>40842</v>
      </c>
      <c r="B874" s="87">
        <v>1859</v>
      </c>
      <c r="C874" s="87">
        <v>204439</v>
      </c>
    </row>
    <row r="875" spans="1:3">
      <c r="A875" s="102">
        <v>40843</v>
      </c>
      <c r="B875" s="87">
        <v>2729</v>
      </c>
      <c r="C875" s="87">
        <v>218106</v>
      </c>
    </row>
    <row r="876" spans="1:3">
      <c r="A876" s="102">
        <v>40844</v>
      </c>
      <c r="B876" s="87">
        <v>2852</v>
      </c>
      <c r="C876" s="87">
        <v>248057</v>
      </c>
    </row>
    <row r="877" spans="1:3">
      <c r="A877" s="102">
        <v>40847</v>
      </c>
      <c r="B877" s="87">
        <v>3261</v>
      </c>
      <c r="C877" s="87">
        <v>216878</v>
      </c>
    </row>
    <row r="878" spans="1:3">
      <c r="A878" s="102">
        <v>40848</v>
      </c>
      <c r="B878" s="87">
        <v>1317</v>
      </c>
      <c r="C878" s="87">
        <v>229066</v>
      </c>
    </row>
    <row r="879" spans="1:3">
      <c r="A879" s="102">
        <v>40849</v>
      </c>
      <c r="B879" s="87">
        <v>1207</v>
      </c>
      <c r="C879" s="87">
        <v>252953</v>
      </c>
    </row>
    <row r="880" spans="1:3">
      <c r="A880" s="102">
        <v>40850</v>
      </c>
      <c r="B880" s="87">
        <v>1281</v>
      </c>
      <c r="C880" s="87">
        <v>275226</v>
      </c>
    </row>
    <row r="881" spans="1:3">
      <c r="A881" s="102">
        <v>40851</v>
      </c>
      <c r="B881" s="87">
        <v>1242</v>
      </c>
      <c r="C881" s="87">
        <v>288429</v>
      </c>
    </row>
    <row r="882" spans="1:3">
      <c r="A882" s="102">
        <v>40854</v>
      </c>
      <c r="B882" s="87">
        <v>1246</v>
      </c>
      <c r="C882" s="87">
        <v>298591</v>
      </c>
    </row>
    <row r="883" spans="1:3">
      <c r="A883" s="102">
        <v>40855</v>
      </c>
      <c r="B883" s="87">
        <v>7735</v>
      </c>
      <c r="C883" s="87">
        <v>73189</v>
      </c>
    </row>
    <row r="884" spans="1:3">
      <c r="A884" s="102">
        <v>40856</v>
      </c>
      <c r="B884" s="87">
        <v>1624</v>
      </c>
      <c r="C884" s="87">
        <v>113825</v>
      </c>
    </row>
    <row r="885" spans="1:3">
      <c r="A885" s="102">
        <v>40857</v>
      </c>
      <c r="B885" s="87">
        <v>1825</v>
      </c>
      <c r="C885" s="87">
        <v>122745</v>
      </c>
    </row>
    <row r="886" spans="1:3">
      <c r="A886" s="102">
        <v>40858</v>
      </c>
      <c r="B886" s="87">
        <v>1980</v>
      </c>
      <c r="C886" s="87">
        <v>144701</v>
      </c>
    </row>
    <row r="887" spans="1:3">
      <c r="A887" s="102">
        <v>40861</v>
      </c>
      <c r="B887" s="87">
        <v>2042</v>
      </c>
      <c r="C887" s="87">
        <v>177237</v>
      </c>
    </row>
    <row r="888" spans="1:3">
      <c r="A888" s="102">
        <v>40862</v>
      </c>
      <c r="B888" s="87">
        <v>3728</v>
      </c>
      <c r="C888" s="87">
        <v>189827</v>
      </c>
    </row>
    <row r="889" spans="1:3">
      <c r="A889" s="102">
        <v>40863</v>
      </c>
      <c r="B889" s="87">
        <v>3083</v>
      </c>
      <c r="C889" s="87">
        <v>216295</v>
      </c>
    </row>
    <row r="890" spans="1:3">
      <c r="A890" s="102">
        <v>40864</v>
      </c>
      <c r="B890" s="87">
        <v>2311</v>
      </c>
      <c r="C890" s="87">
        <v>230899</v>
      </c>
    </row>
    <row r="891" spans="1:3">
      <c r="A891" s="102">
        <v>40865</v>
      </c>
      <c r="B891" s="87">
        <v>2675</v>
      </c>
      <c r="C891" s="87">
        <v>236781</v>
      </c>
    </row>
    <row r="892" spans="1:3">
      <c r="A892" s="102">
        <v>40868</v>
      </c>
      <c r="B892" s="87">
        <v>2402</v>
      </c>
      <c r="C892" s="87">
        <v>235412</v>
      </c>
    </row>
    <row r="893" spans="1:3">
      <c r="A893" s="102">
        <v>40869</v>
      </c>
      <c r="B893" s="87">
        <v>2590</v>
      </c>
      <c r="C893" s="87">
        <v>231429</v>
      </c>
    </row>
    <row r="894" spans="1:3">
      <c r="A894" s="102">
        <v>40870</v>
      </c>
      <c r="B894" s="87">
        <v>1883</v>
      </c>
      <c r="C894" s="87">
        <v>236590</v>
      </c>
    </row>
    <row r="895" spans="1:3">
      <c r="A895" s="102">
        <v>40871</v>
      </c>
      <c r="B895" s="87">
        <v>1697</v>
      </c>
      <c r="C895" s="87">
        <v>237411</v>
      </c>
    </row>
    <row r="896" spans="1:3">
      <c r="A896" s="102">
        <v>40872</v>
      </c>
      <c r="B896" s="87">
        <v>1702</v>
      </c>
      <c r="C896" s="87">
        <v>256259</v>
      </c>
    </row>
    <row r="897" spans="1:3">
      <c r="A897" s="102">
        <v>40875</v>
      </c>
      <c r="B897" s="87">
        <v>1722</v>
      </c>
      <c r="C897" s="87">
        <v>281418</v>
      </c>
    </row>
    <row r="898" spans="1:3">
      <c r="A898" s="102">
        <v>40876</v>
      </c>
      <c r="B898" s="87">
        <v>2705</v>
      </c>
      <c r="C898" s="87">
        <v>297112</v>
      </c>
    </row>
    <row r="899" spans="1:3">
      <c r="A899" s="102">
        <v>40877</v>
      </c>
      <c r="B899" s="87">
        <v>4638</v>
      </c>
      <c r="C899" s="87">
        <v>304418</v>
      </c>
    </row>
    <row r="900" spans="1:3">
      <c r="A900" s="102">
        <v>40878</v>
      </c>
      <c r="B900" s="87">
        <v>8640</v>
      </c>
      <c r="C900" s="87">
        <v>313763</v>
      </c>
    </row>
    <row r="901" spans="1:3">
      <c r="A901" s="102">
        <v>40879</v>
      </c>
      <c r="B901" s="87">
        <v>7002</v>
      </c>
      <c r="C901" s="87">
        <v>332705</v>
      </c>
    </row>
    <row r="902" spans="1:3">
      <c r="A902" s="102">
        <v>40882</v>
      </c>
      <c r="B902" s="87">
        <v>7764</v>
      </c>
      <c r="C902" s="87">
        <v>328172</v>
      </c>
    </row>
    <row r="903" spans="1:3">
      <c r="A903" s="102">
        <v>40883</v>
      </c>
      <c r="B903" s="87">
        <v>8142</v>
      </c>
      <c r="C903" s="87">
        <v>324587</v>
      </c>
    </row>
    <row r="904" spans="1:3">
      <c r="A904" s="102">
        <v>40884</v>
      </c>
      <c r="B904" s="87">
        <v>9360</v>
      </c>
      <c r="C904" s="87">
        <v>324505</v>
      </c>
    </row>
    <row r="905" spans="1:3">
      <c r="A905" s="102">
        <v>40885</v>
      </c>
      <c r="B905" s="87">
        <v>8040</v>
      </c>
      <c r="C905" s="87">
        <v>310061</v>
      </c>
    </row>
    <row r="906" spans="1:3">
      <c r="A906" s="102">
        <v>40886</v>
      </c>
      <c r="B906" s="87">
        <v>7407</v>
      </c>
      <c r="C906" s="87">
        <v>334905</v>
      </c>
    </row>
    <row r="907" spans="1:3">
      <c r="A907" s="102">
        <v>40889</v>
      </c>
      <c r="B907" s="87">
        <v>8953</v>
      </c>
      <c r="C907" s="87">
        <v>346357</v>
      </c>
    </row>
    <row r="908" spans="1:3">
      <c r="A908" s="102">
        <v>40890</v>
      </c>
      <c r="B908" s="87">
        <v>8417</v>
      </c>
      <c r="C908" s="87">
        <v>140307</v>
      </c>
    </row>
    <row r="909" spans="1:3">
      <c r="A909" s="102">
        <v>40891</v>
      </c>
      <c r="B909" s="87">
        <v>5372</v>
      </c>
      <c r="C909" s="87">
        <v>197056</v>
      </c>
    </row>
    <row r="910" spans="1:3">
      <c r="A910" s="102">
        <v>40892</v>
      </c>
      <c r="B910" s="87">
        <v>4517</v>
      </c>
      <c r="C910" s="87">
        <v>196270</v>
      </c>
    </row>
    <row r="911" spans="1:3">
      <c r="A911" s="102">
        <v>40893</v>
      </c>
      <c r="B911" s="87">
        <v>4549</v>
      </c>
      <c r="C911" s="87">
        <v>214108</v>
      </c>
    </row>
    <row r="912" spans="1:3">
      <c r="A912" s="102">
        <v>40896</v>
      </c>
      <c r="B912" s="87">
        <v>7046</v>
      </c>
      <c r="C912" s="87">
        <v>225548</v>
      </c>
    </row>
    <row r="913" spans="1:7">
      <c r="A913" s="102">
        <v>40897</v>
      </c>
      <c r="B913" s="87">
        <v>7751</v>
      </c>
      <c r="C913" s="87">
        <v>251350</v>
      </c>
    </row>
    <row r="914" spans="1:7">
      <c r="A914" s="102">
        <v>40898</v>
      </c>
      <c r="B914" s="87">
        <v>7546</v>
      </c>
      <c r="C914" s="87">
        <v>264969</v>
      </c>
    </row>
    <row r="915" spans="1:7">
      <c r="A915" s="102">
        <v>40899</v>
      </c>
      <c r="B915" s="87">
        <v>6341</v>
      </c>
      <c r="C915" s="87">
        <v>346994</v>
      </c>
    </row>
    <row r="916" spans="1:7">
      <c r="A916" s="102">
        <v>40900</v>
      </c>
      <c r="B916" s="87">
        <v>6131</v>
      </c>
      <c r="C916" s="87">
        <v>411813</v>
      </c>
    </row>
    <row r="917" spans="1:7">
      <c r="A917" s="102">
        <v>40904</v>
      </c>
      <c r="B917" s="87">
        <v>6225</v>
      </c>
      <c r="C917" s="87">
        <v>452034</v>
      </c>
    </row>
    <row r="918" spans="1:7">
      <c r="A918" s="102">
        <v>40905</v>
      </c>
      <c r="B918" s="87">
        <v>4321</v>
      </c>
      <c r="C918" s="87">
        <v>436583</v>
      </c>
    </row>
    <row r="919" spans="1:7">
      <c r="A919" s="102">
        <v>40906</v>
      </c>
      <c r="B919" s="87">
        <v>17307</v>
      </c>
      <c r="C919" s="87">
        <v>445683</v>
      </c>
      <c r="F919" s="103"/>
      <c r="G919" s="103"/>
    </row>
    <row r="920" spans="1:7">
      <c r="A920" s="102">
        <v>40907</v>
      </c>
      <c r="B920" s="87">
        <v>14823</v>
      </c>
      <c r="C920" s="87">
        <v>413882</v>
      </c>
      <c r="F920" s="104"/>
      <c r="G920" s="104"/>
    </row>
    <row r="921" spans="1:7">
      <c r="A921" s="102">
        <v>40910</v>
      </c>
      <c r="B921" s="87">
        <v>14825</v>
      </c>
      <c r="C921" s="87">
        <v>446262</v>
      </c>
      <c r="F921" s="104"/>
      <c r="G921" s="104"/>
    </row>
    <row r="922" spans="1:7">
      <c r="A922" s="102">
        <v>40911</v>
      </c>
      <c r="B922" s="87">
        <v>15012</v>
      </c>
      <c r="C922" s="87">
        <v>453181</v>
      </c>
      <c r="F922" s="104"/>
      <c r="G922" s="104"/>
    </row>
    <row r="923" spans="1:7">
      <c r="A923" s="102">
        <v>40912</v>
      </c>
      <c r="B923" s="87">
        <v>4780</v>
      </c>
      <c r="C923" s="87">
        <v>443701</v>
      </c>
      <c r="F923" s="104"/>
      <c r="G923" s="104"/>
    </row>
    <row r="924" spans="1:7">
      <c r="A924" s="102">
        <v>40913</v>
      </c>
      <c r="B924" s="87">
        <v>1861</v>
      </c>
      <c r="C924" s="87">
        <v>455299</v>
      </c>
    </row>
    <row r="925" spans="1:7">
      <c r="A925" s="102">
        <v>40914</v>
      </c>
      <c r="B925" s="87">
        <v>1391</v>
      </c>
      <c r="C925" s="87">
        <v>463565</v>
      </c>
    </row>
    <row r="926" spans="1:7">
      <c r="A926" s="102">
        <v>40917</v>
      </c>
      <c r="B926" s="87">
        <v>1519</v>
      </c>
      <c r="C926" s="87">
        <v>481935</v>
      </c>
    </row>
    <row r="927" spans="1:7">
      <c r="A927" s="102">
        <v>40918</v>
      </c>
      <c r="B927" s="87">
        <v>1912</v>
      </c>
      <c r="C927" s="87">
        <v>485898</v>
      </c>
    </row>
    <row r="928" spans="1:7">
      <c r="A928" s="102">
        <v>40919</v>
      </c>
      <c r="B928" s="87">
        <v>3200</v>
      </c>
      <c r="C928" s="87">
        <v>470632</v>
      </c>
    </row>
    <row r="929" spans="1:3">
      <c r="A929" s="102">
        <v>40920</v>
      </c>
      <c r="B929" s="87">
        <v>1496</v>
      </c>
      <c r="C929" s="87">
        <v>489906</v>
      </c>
    </row>
    <row r="930" spans="1:3">
      <c r="A930" s="102">
        <v>40921</v>
      </c>
      <c r="B930" s="87">
        <v>2386</v>
      </c>
      <c r="C930" s="87">
        <v>493272</v>
      </c>
    </row>
    <row r="931" spans="1:3">
      <c r="A931" s="102">
        <v>40924</v>
      </c>
      <c r="B931" s="87">
        <v>1640</v>
      </c>
      <c r="C931" s="87">
        <v>501933</v>
      </c>
    </row>
    <row r="932" spans="1:3">
      <c r="A932" s="102">
        <v>40925</v>
      </c>
      <c r="B932" s="87">
        <v>2309</v>
      </c>
      <c r="C932" s="87">
        <v>528184</v>
      </c>
    </row>
    <row r="933" spans="1:3">
      <c r="A933" s="102">
        <v>40926</v>
      </c>
      <c r="B933" s="87">
        <v>3317</v>
      </c>
      <c r="C933" s="87">
        <v>395327</v>
      </c>
    </row>
    <row r="934" spans="1:3">
      <c r="A934" s="102">
        <v>40927</v>
      </c>
      <c r="B934" s="87">
        <v>3040</v>
      </c>
      <c r="C934" s="87">
        <v>420949</v>
      </c>
    </row>
    <row r="935" spans="1:3">
      <c r="A935" s="102">
        <v>40928</v>
      </c>
      <c r="B935" s="87">
        <v>3323</v>
      </c>
      <c r="C935" s="87">
        <v>491780</v>
      </c>
    </row>
    <row r="936" spans="1:3">
      <c r="A936" s="102">
        <v>40931</v>
      </c>
      <c r="B936" s="87">
        <v>3371</v>
      </c>
      <c r="C936" s="87">
        <v>490546</v>
      </c>
    </row>
    <row r="937" spans="1:3">
      <c r="A937" s="102">
        <v>40932</v>
      </c>
      <c r="B937" s="87">
        <v>3620</v>
      </c>
      <c r="C937" s="87">
        <v>485785</v>
      </c>
    </row>
    <row r="938" spans="1:3">
      <c r="A938" s="102">
        <v>40933</v>
      </c>
      <c r="B938" s="87">
        <v>3472</v>
      </c>
      <c r="C938" s="87">
        <v>484125</v>
      </c>
    </row>
    <row r="939" spans="1:3">
      <c r="A939" s="102">
        <v>40934</v>
      </c>
      <c r="B939" s="87">
        <v>2940</v>
      </c>
      <c r="C939" s="87">
        <v>464848</v>
      </c>
    </row>
    <row r="940" spans="1:3">
      <c r="A940" s="102">
        <v>40935</v>
      </c>
      <c r="B940" s="87">
        <v>2366</v>
      </c>
      <c r="C940" s="87">
        <v>488884</v>
      </c>
    </row>
    <row r="941" spans="1:3">
      <c r="A941" s="102">
        <v>40938</v>
      </c>
      <c r="B941" s="87">
        <v>2167</v>
      </c>
      <c r="C941" s="87">
        <v>479441</v>
      </c>
    </row>
    <row r="942" spans="1:3">
      <c r="A942" s="102">
        <v>40939</v>
      </c>
      <c r="B942" s="87">
        <v>1607</v>
      </c>
      <c r="C942" s="87">
        <v>472456</v>
      </c>
    </row>
    <row r="943" spans="1:3">
      <c r="A943" s="102">
        <v>40940</v>
      </c>
      <c r="B943" s="87">
        <v>2047</v>
      </c>
      <c r="C943" s="87">
        <v>486365</v>
      </c>
    </row>
    <row r="944" spans="1:3">
      <c r="A944" s="102">
        <v>40941</v>
      </c>
      <c r="B944" s="87">
        <v>1459</v>
      </c>
      <c r="C944" s="87">
        <v>488689</v>
      </c>
    </row>
    <row r="945" spans="1:3">
      <c r="A945" s="102">
        <v>40942</v>
      </c>
      <c r="B945" s="87">
        <v>2799</v>
      </c>
      <c r="C945" s="87">
        <v>511438</v>
      </c>
    </row>
    <row r="946" spans="1:3">
      <c r="A946" s="102">
        <v>40945</v>
      </c>
      <c r="B946" s="87">
        <v>1816</v>
      </c>
      <c r="C946" s="87">
        <v>503388</v>
      </c>
    </row>
    <row r="947" spans="1:3">
      <c r="A947" s="102">
        <v>40946</v>
      </c>
      <c r="B947" s="87">
        <v>1933</v>
      </c>
      <c r="C947" s="87">
        <v>495351</v>
      </c>
    </row>
    <row r="948" spans="1:3">
      <c r="A948" s="102">
        <v>40947</v>
      </c>
      <c r="B948" s="87">
        <v>1826</v>
      </c>
      <c r="C948" s="87">
        <v>494726</v>
      </c>
    </row>
    <row r="949" spans="1:3">
      <c r="A949" s="102">
        <v>40948</v>
      </c>
      <c r="B949" s="87">
        <v>1602</v>
      </c>
      <c r="C949" s="87">
        <v>496108</v>
      </c>
    </row>
    <row r="950" spans="1:3">
      <c r="A950" s="102">
        <v>40949</v>
      </c>
      <c r="B950" s="87">
        <v>1213</v>
      </c>
      <c r="C950" s="87">
        <v>507876</v>
      </c>
    </row>
    <row r="951" spans="1:3">
      <c r="A951" s="102">
        <v>40952</v>
      </c>
      <c r="B951" s="87">
        <v>1105</v>
      </c>
      <c r="C951" s="87">
        <v>510234</v>
      </c>
    </row>
    <row r="952" spans="1:3">
      <c r="A952" s="102">
        <v>40953</v>
      </c>
      <c r="B952" s="87">
        <v>1160</v>
      </c>
      <c r="C952" s="87">
        <v>524044</v>
      </c>
    </row>
    <row r="953" spans="1:3">
      <c r="A953" s="102">
        <v>40954</v>
      </c>
      <c r="B953" s="87">
        <v>755</v>
      </c>
      <c r="C953" s="87">
        <v>391550</v>
      </c>
    </row>
    <row r="954" spans="1:3">
      <c r="A954" s="102">
        <v>40955</v>
      </c>
      <c r="B954" s="87">
        <v>654</v>
      </c>
      <c r="C954" s="87">
        <v>416738</v>
      </c>
    </row>
    <row r="955" spans="1:3">
      <c r="A955" s="102">
        <v>40956</v>
      </c>
      <c r="B955" s="87">
        <v>1436</v>
      </c>
      <c r="C955" s="87">
        <v>454356</v>
      </c>
    </row>
    <row r="956" spans="1:3">
      <c r="A956" s="102">
        <v>40959</v>
      </c>
      <c r="B956" s="87">
        <v>1209</v>
      </c>
      <c r="C956" s="87">
        <v>464186</v>
      </c>
    </row>
    <row r="957" spans="1:3">
      <c r="A957" s="102">
        <v>40960</v>
      </c>
      <c r="B957" s="87">
        <v>1303</v>
      </c>
      <c r="C957" s="87">
        <v>449052</v>
      </c>
    </row>
    <row r="958" spans="1:3">
      <c r="A958" s="102">
        <v>40961</v>
      </c>
      <c r="B958" s="87">
        <v>1537</v>
      </c>
      <c r="C958" s="87">
        <v>466403</v>
      </c>
    </row>
    <row r="959" spans="1:3">
      <c r="A959" s="102">
        <v>40962</v>
      </c>
      <c r="B959" s="87">
        <v>1074</v>
      </c>
      <c r="C959" s="87">
        <v>475856</v>
      </c>
    </row>
    <row r="960" spans="1:3">
      <c r="A960" s="102">
        <v>40963</v>
      </c>
      <c r="B960" s="87">
        <v>1020</v>
      </c>
      <c r="C960" s="87">
        <v>477324</v>
      </c>
    </row>
    <row r="961" spans="1:3">
      <c r="A961" s="102">
        <v>40966</v>
      </c>
      <c r="B961" s="87">
        <v>1078</v>
      </c>
      <c r="C961" s="87">
        <v>475240</v>
      </c>
    </row>
    <row r="962" spans="1:3">
      <c r="A962" s="102">
        <v>40967</v>
      </c>
      <c r="B962" s="87">
        <v>4911</v>
      </c>
      <c r="C962" s="87">
        <v>481144</v>
      </c>
    </row>
    <row r="963" spans="1:3">
      <c r="A963" s="102">
        <v>40968</v>
      </c>
      <c r="B963" s="87">
        <v>2963</v>
      </c>
      <c r="C963" s="87">
        <v>475219</v>
      </c>
    </row>
    <row r="964" spans="1:3">
      <c r="A964" s="102">
        <v>40969</v>
      </c>
      <c r="B964" s="87">
        <v>572</v>
      </c>
      <c r="C964" s="87">
        <v>776941</v>
      </c>
    </row>
    <row r="965" spans="1:3">
      <c r="A965" s="102">
        <v>40970</v>
      </c>
      <c r="B965" s="87">
        <v>783</v>
      </c>
      <c r="C965" s="87">
        <v>820819</v>
      </c>
    </row>
    <row r="966" spans="1:3">
      <c r="A966" s="102">
        <v>40973</v>
      </c>
      <c r="B966" s="87">
        <v>1354</v>
      </c>
      <c r="C966" s="87">
        <v>827534</v>
      </c>
    </row>
    <row r="967" spans="1:3">
      <c r="A967" s="102">
        <v>40974</v>
      </c>
      <c r="B967" s="87">
        <v>2193</v>
      </c>
      <c r="C967" s="87">
        <v>816759</v>
      </c>
    </row>
    <row r="968" spans="1:3">
      <c r="A968" s="102">
        <v>40975</v>
      </c>
      <c r="B968" s="87">
        <v>25</v>
      </c>
      <c r="C968" s="87">
        <v>806953</v>
      </c>
    </row>
    <row r="969" spans="1:3">
      <c r="A969" s="102">
        <v>40976</v>
      </c>
      <c r="B969" s="87">
        <v>575</v>
      </c>
      <c r="C969" s="87">
        <v>800573</v>
      </c>
    </row>
    <row r="970" spans="1:3">
      <c r="A970" s="102">
        <v>40977</v>
      </c>
      <c r="B970" s="87">
        <v>632</v>
      </c>
      <c r="C970" s="87">
        <v>797953</v>
      </c>
    </row>
    <row r="971" spans="1:3">
      <c r="A971" s="102">
        <v>40980</v>
      </c>
      <c r="B971" s="87">
        <v>15610</v>
      </c>
      <c r="C971" s="87">
        <v>795166</v>
      </c>
    </row>
    <row r="972" spans="1:3">
      <c r="A972" s="102">
        <v>40981</v>
      </c>
      <c r="B972" s="87">
        <v>14730</v>
      </c>
      <c r="C972" s="87">
        <v>815986</v>
      </c>
    </row>
    <row r="973" spans="1:3">
      <c r="A973" s="102">
        <v>40982</v>
      </c>
      <c r="B973" s="87">
        <v>1787</v>
      </c>
      <c r="C973" s="87">
        <v>686426</v>
      </c>
    </row>
    <row r="974" spans="1:3">
      <c r="A974" s="102">
        <v>40983</v>
      </c>
      <c r="B974" s="87">
        <v>992</v>
      </c>
      <c r="C974" s="87">
        <v>727736</v>
      </c>
    </row>
    <row r="975" spans="1:3">
      <c r="A975" s="102">
        <v>40984</v>
      </c>
      <c r="B975" s="87">
        <v>11784</v>
      </c>
      <c r="C975" s="87">
        <v>758754</v>
      </c>
    </row>
    <row r="976" spans="1:3">
      <c r="A976" s="102">
        <v>40987</v>
      </c>
      <c r="B976" s="87">
        <v>11537</v>
      </c>
      <c r="C976" s="87">
        <v>765160</v>
      </c>
    </row>
    <row r="977" spans="1:3">
      <c r="A977" s="102">
        <v>40988</v>
      </c>
      <c r="B977" s="87">
        <v>11036</v>
      </c>
      <c r="C977" s="87">
        <v>768862</v>
      </c>
    </row>
    <row r="978" spans="1:3">
      <c r="A978" s="102">
        <v>40989</v>
      </c>
      <c r="B978" s="87">
        <v>1120</v>
      </c>
      <c r="C978" s="87">
        <v>755335</v>
      </c>
    </row>
    <row r="979" spans="1:3">
      <c r="A979" s="102">
        <v>40990</v>
      </c>
      <c r="B979" s="87">
        <v>1285</v>
      </c>
      <c r="C979" s="87">
        <v>763288</v>
      </c>
    </row>
    <row r="980" spans="1:3">
      <c r="A980" s="102">
        <v>40991</v>
      </c>
      <c r="B980" s="87">
        <v>834</v>
      </c>
      <c r="C980" s="87">
        <v>785393</v>
      </c>
    </row>
    <row r="981" spans="1:3">
      <c r="A981" s="102">
        <v>40994</v>
      </c>
      <c r="B981" s="87">
        <v>535</v>
      </c>
      <c r="C981" s="87">
        <v>769752</v>
      </c>
    </row>
    <row r="982" spans="1:3">
      <c r="A982" s="102">
        <v>40995</v>
      </c>
      <c r="B982" s="87">
        <v>395</v>
      </c>
      <c r="C982" s="87">
        <v>773687</v>
      </c>
    </row>
    <row r="983" spans="1:3">
      <c r="A983" s="102">
        <v>40996</v>
      </c>
      <c r="B983" s="87">
        <v>287</v>
      </c>
      <c r="C983" s="87">
        <v>777163</v>
      </c>
    </row>
    <row r="984" spans="1:3">
      <c r="A984" s="102">
        <v>40997</v>
      </c>
      <c r="B984" s="87">
        <v>2105</v>
      </c>
      <c r="C984" s="87">
        <v>786013</v>
      </c>
    </row>
    <row r="985" spans="1:3">
      <c r="A985" s="102">
        <v>40998</v>
      </c>
      <c r="B985" s="87">
        <v>1615</v>
      </c>
      <c r="C985" s="87">
        <v>778702</v>
      </c>
    </row>
    <row r="986" spans="1:3">
      <c r="A986" s="102">
        <v>41001</v>
      </c>
      <c r="B986" s="87">
        <v>1769</v>
      </c>
      <c r="C986" s="87">
        <v>782855</v>
      </c>
    </row>
    <row r="987" spans="1:3">
      <c r="A987" s="102">
        <v>41002</v>
      </c>
      <c r="B987" s="87">
        <v>1616</v>
      </c>
      <c r="C987" s="87">
        <v>786240</v>
      </c>
    </row>
    <row r="988" spans="1:3">
      <c r="A988" s="102">
        <v>41003</v>
      </c>
      <c r="B988" s="87">
        <v>1023</v>
      </c>
      <c r="C988" s="87">
        <v>773364</v>
      </c>
    </row>
    <row r="989" spans="1:3">
      <c r="A989" s="102">
        <v>41004</v>
      </c>
      <c r="B989" s="87">
        <v>966</v>
      </c>
      <c r="C989" s="87">
        <v>784829</v>
      </c>
    </row>
    <row r="990" spans="1:3">
      <c r="A990" s="102">
        <v>41009</v>
      </c>
      <c r="B990" s="87">
        <v>1395</v>
      </c>
      <c r="C990" s="87">
        <v>787959</v>
      </c>
    </row>
    <row r="991" spans="1:3">
      <c r="A991" s="102">
        <v>41010</v>
      </c>
      <c r="B991" s="87">
        <v>1461</v>
      </c>
      <c r="C991" s="87">
        <v>652943</v>
      </c>
    </row>
    <row r="992" spans="1:3">
      <c r="A992" s="102">
        <v>41011</v>
      </c>
      <c r="B992" s="87">
        <v>2040</v>
      </c>
      <c r="C992" s="87">
        <v>705625</v>
      </c>
    </row>
    <row r="993" spans="1:3">
      <c r="A993" s="102">
        <v>41012</v>
      </c>
      <c r="B993" s="87">
        <v>1993</v>
      </c>
      <c r="C993" s="87">
        <v>742825</v>
      </c>
    </row>
    <row r="994" spans="1:3">
      <c r="A994" s="102">
        <v>41015</v>
      </c>
      <c r="B994" s="87">
        <v>1791</v>
      </c>
      <c r="C994" s="87">
        <v>745178</v>
      </c>
    </row>
    <row r="995" spans="1:3">
      <c r="A995" s="102">
        <v>41016</v>
      </c>
      <c r="B995" s="87">
        <v>1552</v>
      </c>
      <c r="C995" s="87">
        <v>757828</v>
      </c>
    </row>
    <row r="996" spans="1:3">
      <c r="A996" s="102">
        <v>41017</v>
      </c>
      <c r="B996" s="87">
        <v>330</v>
      </c>
      <c r="C996" s="87">
        <v>756721</v>
      </c>
    </row>
    <row r="997" spans="1:3">
      <c r="A997" s="102">
        <v>41018</v>
      </c>
      <c r="B997" s="87">
        <v>335</v>
      </c>
      <c r="C997" s="87">
        <v>746466</v>
      </c>
    </row>
    <row r="998" spans="1:3">
      <c r="A998" s="102">
        <v>41019</v>
      </c>
      <c r="B998" s="87">
        <v>311</v>
      </c>
      <c r="C998" s="87">
        <v>775650</v>
      </c>
    </row>
    <row r="999" spans="1:3">
      <c r="A999" s="102">
        <v>41022</v>
      </c>
      <c r="B999" s="87">
        <v>562</v>
      </c>
      <c r="C999" s="87">
        <v>767804</v>
      </c>
    </row>
    <row r="1000" spans="1:3">
      <c r="A1000" s="102">
        <v>41023</v>
      </c>
      <c r="B1000" s="87">
        <v>214</v>
      </c>
      <c r="C1000" s="87">
        <v>759324</v>
      </c>
    </row>
    <row r="1001" spans="1:3">
      <c r="A1001" s="102">
        <v>41024</v>
      </c>
      <c r="B1001" s="87">
        <v>1613</v>
      </c>
      <c r="C1001" s="87">
        <v>782336</v>
      </c>
    </row>
    <row r="1002" spans="1:3">
      <c r="A1002" s="102">
        <v>41025</v>
      </c>
      <c r="B1002" s="87">
        <v>256</v>
      </c>
      <c r="C1002" s="87">
        <v>791315</v>
      </c>
    </row>
    <row r="1003" spans="1:3">
      <c r="A1003" s="102">
        <v>41026</v>
      </c>
      <c r="B1003" s="87">
        <v>619</v>
      </c>
      <c r="C1003" s="87">
        <v>793958</v>
      </c>
    </row>
    <row r="1004" spans="1:3">
      <c r="A1004" s="102">
        <v>41029</v>
      </c>
      <c r="B1004" s="87">
        <v>606</v>
      </c>
      <c r="C1004" s="87">
        <v>789277</v>
      </c>
    </row>
    <row r="1005" spans="1:3">
      <c r="A1005" s="102">
        <v>41031</v>
      </c>
      <c r="B1005" s="87">
        <v>638</v>
      </c>
      <c r="C1005" s="87">
        <v>803064</v>
      </c>
    </row>
    <row r="1006" spans="1:3">
      <c r="A1006" s="102">
        <v>41032</v>
      </c>
      <c r="B1006" s="87">
        <v>983</v>
      </c>
      <c r="C1006" s="87">
        <v>805701</v>
      </c>
    </row>
    <row r="1007" spans="1:3">
      <c r="A1007" s="102">
        <v>41033</v>
      </c>
      <c r="B1007" s="87">
        <v>1086</v>
      </c>
      <c r="C1007" s="87">
        <v>801489</v>
      </c>
    </row>
    <row r="1008" spans="1:3">
      <c r="A1008" s="102">
        <v>41036</v>
      </c>
      <c r="B1008" s="87">
        <v>1031</v>
      </c>
      <c r="C1008" s="87">
        <v>782306</v>
      </c>
    </row>
    <row r="1009" spans="1:3">
      <c r="A1009" s="102">
        <v>41037</v>
      </c>
      <c r="B1009" s="87">
        <v>1524</v>
      </c>
      <c r="C1009" s="87">
        <v>823293</v>
      </c>
    </row>
    <row r="1010" spans="1:3">
      <c r="A1010" s="102">
        <v>41038</v>
      </c>
      <c r="B1010" s="87">
        <v>746</v>
      </c>
      <c r="C1010" s="87">
        <v>695845</v>
      </c>
    </row>
    <row r="1011" spans="1:3">
      <c r="A1011" s="102">
        <v>41039</v>
      </c>
      <c r="B1011" s="87">
        <v>1537</v>
      </c>
      <c r="C1011" s="87">
        <v>702734</v>
      </c>
    </row>
    <row r="1012" spans="1:3">
      <c r="A1012" s="102">
        <v>41040</v>
      </c>
      <c r="B1012" s="87">
        <v>1613</v>
      </c>
      <c r="C1012" s="87">
        <v>763119</v>
      </c>
    </row>
    <row r="1013" spans="1:3">
      <c r="A1013" s="102">
        <v>41043</v>
      </c>
      <c r="B1013" s="87">
        <v>1645</v>
      </c>
      <c r="C1013" s="87">
        <v>788181</v>
      </c>
    </row>
    <row r="1014" spans="1:3">
      <c r="A1014" s="102">
        <v>41044</v>
      </c>
      <c r="B1014" s="87">
        <v>1994</v>
      </c>
      <c r="C1014" s="87">
        <v>788371</v>
      </c>
    </row>
    <row r="1015" spans="1:3">
      <c r="A1015" s="102">
        <v>41045</v>
      </c>
      <c r="B1015" s="87">
        <v>839</v>
      </c>
      <c r="C1015" s="87">
        <v>785137</v>
      </c>
    </row>
    <row r="1016" spans="1:3">
      <c r="A1016" s="102">
        <v>41046</v>
      </c>
      <c r="B1016" s="87">
        <v>809</v>
      </c>
      <c r="C1016" s="87">
        <v>762427</v>
      </c>
    </row>
    <row r="1017" spans="1:3">
      <c r="A1017" s="102">
        <v>41047</v>
      </c>
      <c r="B1017" s="87">
        <v>845</v>
      </c>
      <c r="C1017" s="87">
        <v>789715</v>
      </c>
    </row>
    <row r="1018" spans="1:3">
      <c r="A1018" s="102">
        <v>41050</v>
      </c>
      <c r="B1018" s="87">
        <v>1216</v>
      </c>
      <c r="C1018" s="87">
        <v>768250</v>
      </c>
    </row>
    <row r="1019" spans="1:3">
      <c r="A1019" s="102">
        <v>41051</v>
      </c>
      <c r="B1019" s="87">
        <v>2536</v>
      </c>
      <c r="C1019" s="87">
        <v>764033</v>
      </c>
    </row>
    <row r="1020" spans="1:3">
      <c r="A1020" s="102">
        <v>41052</v>
      </c>
      <c r="B1020" s="87">
        <v>3876</v>
      </c>
      <c r="C1020" s="87">
        <v>765931</v>
      </c>
    </row>
    <row r="1021" spans="1:3">
      <c r="A1021" s="102">
        <v>41053</v>
      </c>
      <c r="B1021" s="87">
        <v>3759</v>
      </c>
      <c r="C1021" s="87">
        <v>760988</v>
      </c>
    </row>
    <row r="1022" spans="1:3">
      <c r="A1022" s="102">
        <v>41054</v>
      </c>
      <c r="B1022" s="87">
        <v>2065</v>
      </c>
      <c r="C1022" s="87">
        <v>760102</v>
      </c>
    </row>
    <row r="1023" spans="1:3">
      <c r="A1023" s="102">
        <v>41057</v>
      </c>
      <c r="B1023" s="87">
        <v>2124</v>
      </c>
      <c r="C1023" s="87">
        <v>741856</v>
      </c>
    </row>
    <row r="1024" spans="1:3">
      <c r="A1024" s="102">
        <v>41058</v>
      </c>
      <c r="B1024" s="87">
        <v>2291</v>
      </c>
      <c r="C1024" s="87">
        <v>759687</v>
      </c>
    </row>
    <row r="1025" spans="1:3">
      <c r="A1025" s="102">
        <v>41059</v>
      </c>
      <c r="B1025" s="87">
        <v>3291</v>
      </c>
      <c r="C1025" s="87">
        <v>769642</v>
      </c>
    </row>
    <row r="1026" spans="1:3">
      <c r="A1026" s="102">
        <v>41060</v>
      </c>
      <c r="B1026" s="87">
        <v>753</v>
      </c>
      <c r="C1026" s="87">
        <v>769306</v>
      </c>
    </row>
    <row r="1027" spans="1:3">
      <c r="A1027" s="102">
        <v>41061</v>
      </c>
      <c r="B1027" s="87">
        <v>710</v>
      </c>
      <c r="C1027" s="87">
        <v>784973</v>
      </c>
    </row>
    <row r="1028" spans="1:3">
      <c r="A1028" s="102">
        <v>41064</v>
      </c>
      <c r="B1028" s="87">
        <v>510</v>
      </c>
      <c r="C1028" s="87">
        <v>781499</v>
      </c>
    </row>
    <row r="1029" spans="1:3">
      <c r="A1029" s="102">
        <v>41065</v>
      </c>
      <c r="B1029" s="87">
        <v>621</v>
      </c>
      <c r="C1029" s="87">
        <v>787256</v>
      </c>
    </row>
    <row r="1030" spans="1:3">
      <c r="A1030" s="102">
        <v>41066</v>
      </c>
      <c r="B1030" s="87">
        <v>1338</v>
      </c>
      <c r="C1030" s="87">
        <v>784624</v>
      </c>
    </row>
    <row r="1031" spans="1:3">
      <c r="A1031" s="102">
        <v>41067</v>
      </c>
      <c r="B1031" s="87">
        <v>1472</v>
      </c>
      <c r="C1031" s="87">
        <v>756573</v>
      </c>
    </row>
    <row r="1032" spans="1:3">
      <c r="A1032" s="102">
        <v>41068</v>
      </c>
      <c r="B1032" s="87">
        <v>1949</v>
      </c>
      <c r="C1032" s="87">
        <v>788218</v>
      </c>
    </row>
    <row r="1033" spans="1:3">
      <c r="A1033" s="102">
        <v>41071</v>
      </c>
      <c r="B1033" s="87">
        <v>2028</v>
      </c>
      <c r="C1033" s="87">
        <v>787428</v>
      </c>
    </row>
    <row r="1034" spans="1:3">
      <c r="A1034" s="102">
        <v>41072</v>
      </c>
      <c r="B1034" s="87">
        <v>2383</v>
      </c>
      <c r="C1034" s="87">
        <v>798179</v>
      </c>
    </row>
    <row r="1035" spans="1:3">
      <c r="A1035" s="102">
        <v>41073</v>
      </c>
      <c r="B1035" s="87">
        <v>789</v>
      </c>
      <c r="C1035" s="87">
        <v>703532</v>
      </c>
    </row>
    <row r="1036" spans="1:3">
      <c r="A1036" s="102">
        <v>41074</v>
      </c>
      <c r="B1036" s="87">
        <v>1163</v>
      </c>
      <c r="C1036" s="87">
        <v>699633</v>
      </c>
    </row>
    <row r="1037" spans="1:3">
      <c r="A1037" s="102">
        <v>41075</v>
      </c>
      <c r="B1037" s="87">
        <v>2979</v>
      </c>
      <c r="C1037" s="87">
        <v>741191</v>
      </c>
    </row>
    <row r="1038" spans="1:3">
      <c r="A1038" s="102">
        <v>41078</v>
      </c>
      <c r="B1038" s="87">
        <v>4380</v>
      </c>
      <c r="C1038" s="87">
        <v>763564</v>
      </c>
    </row>
    <row r="1039" spans="1:3">
      <c r="A1039" s="102">
        <v>41079</v>
      </c>
      <c r="B1039" s="87">
        <v>5820</v>
      </c>
      <c r="C1039" s="87">
        <v>764455</v>
      </c>
    </row>
    <row r="1040" spans="1:3">
      <c r="A1040" s="102">
        <v>41080</v>
      </c>
      <c r="B1040" s="87">
        <v>1255</v>
      </c>
      <c r="C1040" s="87">
        <v>779764</v>
      </c>
    </row>
    <row r="1041" spans="1:3">
      <c r="A1041" s="102">
        <v>41081</v>
      </c>
      <c r="B1041" s="87">
        <v>917</v>
      </c>
      <c r="C1041" s="87">
        <v>769056</v>
      </c>
    </row>
    <row r="1042" spans="1:3">
      <c r="A1042" s="102">
        <v>41082</v>
      </c>
      <c r="B1042" s="87">
        <v>1470</v>
      </c>
      <c r="C1042" s="87">
        <v>775263</v>
      </c>
    </row>
    <row r="1043" spans="1:3">
      <c r="A1043" s="102">
        <v>41085</v>
      </c>
      <c r="B1043" s="87">
        <v>2257</v>
      </c>
      <c r="C1043" s="87">
        <v>750196</v>
      </c>
    </row>
    <row r="1044" spans="1:3">
      <c r="A1044" s="102">
        <v>41086</v>
      </c>
      <c r="B1044" s="87">
        <v>3097</v>
      </c>
      <c r="C1044" s="87">
        <v>747432</v>
      </c>
    </row>
    <row r="1045" spans="1:3">
      <c r="A1045" s="102">
        <v>41087</v>
      </c>
      <c r="B1045" s="87">
        <v>5210</v>
      </c>
      <c r="C1045" s="87">
        <v>772588</v>
      </c>
    </row>
    <row r="1046" spans="1:3">
      <c r="A1046" s="102">
        <v>41088</v>
      </c>
      <c r="B1046" s="87">
        <v>1018</v>
      </c>
      <c r="C1046" s="87">
        <v>782238</v>
      </c>
    </row>
    <row r="1047" spans="1:3">
      <c r="A1047" s="102">
        <v>41089</v>
      </c>
      <c r="B1047" s="87">
        <v>706</v>
      </c>
      <c r="C1047" s="87">
        <v>772855</v>
      </c>
    </row>
    <row r="1048" spans="1:3">
      <c r="A1048" s="102">
        <v>41092</v>
      </c>
      <c r="B1048" s="87">
        <v>303</v>
      </c>
      <c r="C1048" s="87">
        <v>802138</v>
      </c>
    </row>
    <row r="1049" spans="1:3">
      <c r="A1049" s="102">
        <v>41093</v>
      </c>
      <c r="B1049" s="87">
        <v>380</v>
      </c>
      <c r="C1049" s="87">
        <v>806518</v>
      </c>
    </row>
    <row r="1050" spans="1:3">
      <c r="A1050" s="102">
        <v>41094</v>
      </c>
      <c r="B1050" s="87">
        <v>1066</v>
      </c>
      <c r="C1050" s="87">
        <v>790982</v>
      </c>
    </row>
    <row r="1051" spans="1:3">
      <c r="A1051" s="102">
        <v>41095</v>
      </c>
      <c r="B1051" s="87">
        <v>1060</v>
      </c>
      <c r="C1051" s="87">
        <v>790656</v>
      </c>
    </row>
    <row r="1052" spans="1:3">
      <c r="A1052" s="102">
        <v>41096</v>
      </c>
      <c r="B1052" s="87">
        <v>1347</v>
      </c>
      <c r="C1052" s="87">
        <v>795203</v>
      </c>
    </row>
    <row r="1053" spans="1:3">
      <c r="A1053" s="102">
        <v>41099</v>
      </c>
      <c r="B1053" s="87">
        <v>1341</v>
      </c>
      <c r="C1053" s="87">
        <v>791248</v>
      </c>
    </row>
    <row r="1054" spans="1:3">
      <c r="A1054" s="102">
        <v>41100</v>
      </c>
      <c r="B1054" s="87">
        <v>1395</v>
      </c>
      <c r="C1054" s="87">
        <v>808516</v>
      </c>
    </row>
    <row r="1055" spans="1:3">
      <c r="A1055" s="102">
        <v>41101</v>
      </c>
      <c r="B1055" s="87">
        <v>722</v>
      </c>
      <c r="C1055" s="87">
        <v>324931</v>
      </c>
    </row>
    <row r="1056" spans="1:3">
      <c r="A1056" s="102">
        <v>41102</v>
      </c>
      <c r="B1056" s="87">
        <v>762</v>
      </c>
      <c r="C1056" s="87">
        <v>366180</v>
      </c>
    </row>
    <row r="1057" spans="1:3">
      <c r="A1057" s="102">
        <v>41103</v>
      </c>
      <c r="B1057" s="87">
        <v>696</v>
      </c>
      <c r="C1057" s="87">
        <v>386826</v>
      </c>
    </row>
    <row r="1058" spans="1:3">
      <c r="A1058" s="102">
        <v>41106</v>
      </c>
      <c r="B1058" s="87">
        <v>715</v>
      </c>
      <c r="C1058" s="87">
        <v>403944</v>
      </c>
    </row>
    <row r="1059" spans="1:3">
      <c r="A1059" s="102">
        <v>41107</v>
      </c>
      <c r="B1059" s="87">
        <v>723</v>
      </c>
      <c r="C1059" s="87">
        <v>382004</v>
      </c>
    </row>
    <row r="1060" spans="1:3">
      <c r="A1060" s="102">
        <v>41108</v>
      </c>
      <c r="B1060" s="87">
        <v>582</v>
      </c>
      <c r="C1060" s="87">
        <v>359626</v>
      </c>
    </row>
    <row r="1061" spans="1:3">
      <c r="A1061" s="102">
        <v>41109</v>
      </c>
      <c r="B1061" s="87">
        <v>794</v>
      </c>
      <c r="C1061" s="87">
        <v>356821</v>
      </c>
    </row>
    <row r="1062" spans="1:3">
      <c r="A1062" s="102">
        <v>41110</v>
      </c>
      <c r="B1062" s="87">
        <v>740</v>
      </c>
      <c r="C1062" s="87">
        <v>349434</v>
      </c>
    </row>
    <row r="1063" spans="1:3">
      <c r="A1063" s="102">
        <v>41113</v>
      </c>
      <c r="B1063" s="87">
        <v>633</v>
      </c>
      <c r="C1063" s="87">
        <v>355881</v>
      </c>
    </row>
    <row r="1064" spans="1:3">
      <c r="A1064" s="102">
        <v>41114</v>
      </c>
      <c r="B1064" s="87">
        <v>493</v>
      </c>
      <c r="C1064" s="87">
        <v>324084</v>
      </c>
    </row>
    <row r="1065" spans="1:3">
      <c r="A1065" s="102">
        <v>41115</v>
      </c>
      <c r="B1065" s="87">
        <v>193</v>
      </c>
      <c r="C1065" s="87">
        <v>337073</v>
      </c>
    </row>
    <row r="1066" spans="1:3">
      <c r="A1066" s="102">
        <v>41116</v>
      </c>
      <c r="B1066" s="87">
        <v>947</v>
      </c>
      <c r="C1066" s="87">
        <v>321034</v>
      </c>
    </row>
    <row r="1067" spans="1:3">
      <c r="A1067" s="102">
        <v>41117</v>
      </c>
      <c r="B1067" s="87">
        <v>1184</v>
      </c>
      <c r="C1067" s="87">
        <v>337025</v>
      </c>
    </row>
    <row r="1068" spans="1:3">
      <c r="A1068" s="102">
        <v>41120</v>
      </c>
      <c r="B1068" s="87">
        <v>836</v>
      </c>
      <c r="C1068" s="87">
        <v>335731</v>
      </c>
    </row>
    <row r="1069" spans="1:3">
      <c r="A1069" s="102">
        <v>41121</v>
      </c>
      <c r="B1069" s="87">
        <v>1068</v>
      </c>
      <c r="C1069" s="87">
        <v>337467</v>
      </c>
    </row>
    <row r="1070" spans="1:3">
      <c r="A1070" s="102">
        <v>41122</v>
      </c>
      <c r="B1070" s="87">
        <v>807</v>
      </c>
      <c r="C1070" s="87">
        <v>328282</v>
      </c>
    </row>
    <row r="1071" spans="1:3">
      <c r="A1071" s="102">
        <v>41123</v>
      </c>
      <c r="B1071" s="87">
        <v>999</v>
      </c>
      <c r="C1071" s="87">
        <v>323608</v>
      </c>
    </row>
    <row r="1072" spans="1:3">
      <c r="A1072" s="102">
        <v>41124</v>
      </c>
      <c r="B1072" s="87">
        <v>1013</v>
      </c>
      <c r="C1072" s="87">
        <v>300384</v>
      </c>
    </row>
    <row r="1073" spans="1:3">
      <c r="A1073" s="102">
        <v>41127</v>
      </c>
      <c r="B1073" s="87">
        <v>1014</v>
      </c>
      <c r="C1073" s="87">
        <v>311714</v>
      </c>
    </row>
    <row r="1074" spans="1:3">
      <c r="A1074" s="102">
        <v>41128</v>
      </c>
      <c r="B1074" s="87">
        <v>1079</v>
      </c>
      <c r="C1074" s="87">
        <v>316658</v>
      </c>
    </row>
    <row r="1075" spans="1:3">
      <c r="A1075" s="102">
        <v>41129</v>
      </c>
      <c r="B1075" s="87">
        <v>509</v>
      </c>
      <c r="C1075" s="87">
        <v>278045</v>
      </c>
    </row>
    <row r="1076" spans="1:3">
      <c r="A1076" s="102">
        <v>41130</v>
      </c>
      <c r="B1076" s="87">
        <v>562</v>
      </c>
      <c r="C1076" s="87">
        <v>289199</v>
      </c>
    </row>
    <row r="1077" spans="1:3">
      <c r="A1077" s="102">
        <v>41131</v>
      </c>
      <c r="B1077" s="87">
        <v>911</v>
      </c>
      <c r="C1077" s="87">
        <v>310822</v>
      </c>
    </row>
    <row r="1078" spans="1:3">
      <c r="A1078" s="102">
        <v>41134</v>
      </c>
      <c r="B1078" s="87">
        <v>907</v>
      </c>
      <c r="C1078" s="87">
        <v>326167</v>
      </c>
    </row>
    <row r="1079" spans="1:3">
      <c r="A1079" s="102">
        <v>41135</v>
      </c>
      <c r="B1079" s="87">
        <v>891</v>
      </c>
      <c r="C1079" s="87">
        <v>329038</v>
      </c>
    </row>
    <row r="1080" spans="1:3">
      <c r="A1080" s="102">
        <v>41136</v>
      </c>
      <c r="B1080" s="87">
        <v>779</v>
      </c>
      <c r="C1080" s="87">
        <v>351176</v>
      </c>
    </row>
    <row r="1081" spans="1:3">
      <c r="A1081" s="102">
        <v>41137</v>
      </c>
      <c r="B1081" s="87">
        <v>953</v>
      </c>
      <c r="C1081" s="87">
        <v>322480</v>
      </c>
    </row>
    <row r="1082" spans="1:3">
      <c r="A1082" s="102">
        <v>41138</v>
      </c>
      <c r="B1082" s="87">
        <v>949</v>
      </c>
      <c r="C1082" s="87">
        <v>326920</v>
      </c>
    </row>
    <row r="1083" spans="1:3">
      <c r="A1083" s="102">
        <v>41141</v>
      </c>
      <c r="B1083" s="87">
        <v>1191</v>
      </c>
      <c r="C1083" s="87">
        <v>333373</v>
      </c>
    </row>
    <row r="1084" spans="1:3">
      <c r="A1084" s="102">
        <v>41142</v>
      </c>
      <c r="B1084" s="87">
        <v>1172</v>
      </c>
      <c r="C1084" s="87">
        <v>326505</v>
      </c>
    </row>
    <row r="1085" spans="1:3">
      <c r="A1085" s="102">
        <v>41143</v>
      </c>
      <c r="B1085" s="87">
        <v>864</v>
      </c>
      <c r="C1085" s="87">
        <v>335506</v>
      </c>
    </row>
    <row r="1086" spans="1:3">
      <c r="A1086" s="102">
        <v>41144</v>
      </c>
      <c r="B1086" s="87">
        <v>975</v>
      </c>
      <c r="C1086" s="87">
        <v>329916</v>
      </c>
    </row>
    <row r="1087" spans="1:3">
      <c r="A1087" s="102">
        <v>41145</v>
      </c>
      <c r="B1087" s="106">
        <v>677</v>
      </c>
      <c r="C1087" s="106">
        <v>329348</v>
      </c>
    </row>
    <row r="1088" spans="1:3">
      <c r="A1088" s="102">
        <v>41148</v>
      </c>
      <c r="B1088" s="87">
        <v>732</v>
      </c>
      <c r="C1088" s="87">
        <v>332740</v>
      </c>
    </row>
    <row r="1089" spans="1:3">
      <c r="A1089" s="102">
        <v>41149</v>
      </c>
      <c r="B1089" s="106">
        <v>643</v>
      </c>
      <c r="C1089" s="106">
        <v>331841</v>
      </c>
    </row>
    <row r="1090" spans="1:3">
      <c r="A1090" s="102">
        <v>41150</v>
      </c>
      <c r="B1090" s="87">
        <v>370</v>
      </c>
      <c r="C1090" s="87">
        <v>333565</v>
      </c>
    </row>
    <row r="1091" spans="1:3">
      <c r="A1091" s="102">
        <v>41151</v>
      </c>
      <c r="B1091" s="106">
        <v>571</v>
      </c>
      <c r="C1091" s="106">
        <v>330306</v>
      </c>
    </row>
    <row r="1092" spans="1:3">
      <c r="A1092" s="102">
        <v>41152</v>
      </c>
      <c r="B1092" s="87">
        <v>590</v>
      </c>
      <c r="C1092" s="87">
        <v>345956</v>
      </c>
    </row>
    <row r="1093" spans="1:3">
      <c r="A1093" s="102">
        <v>41155</v>
      </c>
      <c r="B1093" s="87">
        <v>556</v>
      </c>
      <c r="C1093" s="87">
        <v>341001</v>
      </c>
    </row>
    <row r="1094" spans="1:3">
      <c r="A1094" s="102">
        <v>41156</v>
      </c>
      <c r="B1094" s="87">
        <v>523</v>
      </c>
      <c r="C1094" s="87">
        <v>342050</v>
      </c>
    </row>
    <row r="1095" spans="1:3">
      <c r="A1095" s="102">
        <v>41157</v>
      </c>
      <c r="B1095" s="87">
        <v>641</v>
      </c>
      <c r="C1095" s="87">
        <v>347014</v>
      </c>
    </row>
    <row r="1096" spans="1:3">
      <c r="A1096" s="102">
        <v>41158</v>
      </c>
      <c r="B1096" s="87">
        <v>850</v>
      </c>
      <c r="C1096" s="87">
        <v>342420</v>
      </c>
    </row>
    <row r="1097" spans="1:3">
      <c r="A1097" s="102">
        <v>41159</v>
      </c>
      <c r="B1097" s="87">
        <v>891</v>
      </c>
      <c r="C1097" s="87">
        <v>326804</v>
      </c>
    </row>
    <row r="1098" spans="1:3">
      <c r="A1098" s="102">
        <v>41162</v>
      </c>
      <c r="B1098" s="87">
        <v>928</v>
      </c>
      <c r="C1098" s="87">
        <v>330906</v>
      </c>
    </row>
    <row r="1099" spans="1:3">
      <c r="A1099" s="102">
        <v>41163</v>
      </c>
      <c r="B1099" s="87">
        <v>2574</v>
      </c>
      <c r="C1099" s="87">
        <v>330065</v>
      </c>
    </row>
    <row r="1100" spans="1:3">
      <c r="A1100" s="102">
        <v>41164</v>
      </c>
      <c r="B1100" s="87">
        <v>743</v>
      </c>
      <c r="C1100" s="87">
        <v>314958</v>
      </c>
    </row>
    <row r="1101" spans="1:3">
      <c r="A1101" s="102">
        <v>41165</v>
      </c>
      <c r="B1101" s="87">
        <v>1069</v>
      </c>
      <c r="C1101" s="87">
        <v>319841</v>
      </c>
    </row>
    <row r="1102" spans="1:3">
      <c r="A1102" s="102">
        <v>41166</v>
      </c>
      <c r="B1102" s="87">
        <v>1044</v>
      </c>
      <c r="C1102" s="87">
        <v>335048</v>
      </c>
    </row>
    <row r="1103" spans="1:3">
      <c r="A1103" s="102">
        <v>41169</v>
      </c>
      <c r="B1103" s="87">
        <v>805</v>
      </c>
      <c r="C1103" s="87">
        <v>305815</v>
      </c>
    </row>
    <row r="1104" spans="1:3">
      <c r="A1104" s="102">
        <v>41170</v>
      </c>
      <c r="B1104" s="87">
        <v>820</v>
      </c>
      <c r="C1104" s="87">
        <v>318040</v>
      </c>
    </row>
    <row r="1105" spans="1:3">
      <c r="A1105" s="102">
        <v>41171</v>
      </c>
      <c r="B1105" s="87">
        <v>662</v>
      </c>
      <c r="C1105" s="87">
        <v>298812</v>
      </c>
    </row>
    <row r="1106" spans="1:3">
      <c r="A1106" s="102">
        <v>41172</v>
      </c>
      <c r="B1106" s="87">
        <v>986</v>
      </c>
      <c r="C1106" s="87">
        <v>302204</v>
      </c>
    </row>
    <row r="1107" spans="1:3">
      <c r="A1107" s="102">
        <v>41173</v>
      </c>
      <c r="B1107" s="87">
        <v>971</v>
      </c>
      <c r="C1107" s="87">
        <v>305647</v>
      </c>
    </row>
    <row r="1108" spans="1:3">
      <c r="A1108" s="102">
        <v>41176</v>
      </c>
      <c r="B1108" s="87">
        <v>980</v>
      </c>
      <c r="C1108" s="87">
        <v>303915</v>
      </c>
    </row>
    <row r="1109" spans="1:3">
      <c r="A1109" s="102">
        <v>41177</v>
      </c>
      <c r="B1109" s="87">
        <v>799</v>
      </c>
      <c r="C1109" s="87">
        <v>307346</v>
      </c>
    </row>
    <row r="1110" spans="1:3">
      <c r="A1110" s="102">
        <v>41178</v>
      </c>
      <c r="B1110" s="87">
        <v>790</v>
      </c>
      <c r="C1110" s="87">
        <v>308154</v>
      </c>
    </row>
    <row r="1111" spans="1:3">
      <c r="A1111" s="102">
        <v>41179</v>
      </c>
      <c r="B1111" s="87">
        <v>1589</v>
      </c>
      <c r="C1111" s="87">
        <v>288868</v>
      </c>
    </row>
    <row r="1112" spans="1:3">
      <c r="A1112" s="102">
        <v>41180</v>
      </c>
      <c r="B1112" s="87">
        <v>2047</v>
      </c>
      <c r="C1112" s="87">
        <v>315754</v>
      </c>
    </row>
    <row r="1113" spans="1:3">
      <c r="A1113" s="102">
        <v>41183</v>
      </c>
      <c r="B1113" s="87">
        <v>2398</v>
      </c>
      <c r="C1113" s="87">
        <v>294862</v>
      </c>
    </row>
    <row r="1114" spans="1:3">
      <c r="A1114" s="102">
        <v>41184</v>
      </c>
      <c r="B1114" s="87">
        <v>2424</v>
      </c>
      <c r="C1114" s="87">
        <v>296891</v>
      </c>
    </row>
    <row r="1115" spans="1:3">
      <c r="A1115" s="102">
        <v>41185</v>
      </c>
      <c r="B1115" s="87">
        <v>954</v>
      </c>
      <c r="C1115" s="87">
        <v>279315</v>
      </c>
    </row>
    <row r="1116" spans="1:3">
      <c r="A1116" s="102">
        <v>41186</v>
      </c>
      <c r="B1116" s="87">
        <v>843</v>
      </c>
      <c r="C1116" s="87">
        <v>277772</v>
      </c>
    </row>
    <row r="1117" spans="1:3">
      <c r="A1117" s="102">
        <v>41187</v>
      </c>
      <c r="B1117" s="87">
        <v>669</v>
      </c>
      <c r="C1117" s="87">
        <v>296464</v>
      </c>
    </row>
    <row r="1118" spans="1:3">
      <c r="A1118" s="102">
        <v>41190</v>
      </c>
      <c r="B1118" s="87">
        <v>860</v>
      </c>
      <c r="C1118" s="87">
        <v>290077</v>
      </c>
    </row>
    <row r="1119" spans="1:3">
      <c r="A1119" s="102">
        <v>41191</v>
      </c>
      <c r="B1119" s="87">
        <v>419</v>
      </c>
      <c r="C1119" s="87">
        <v>287434</v>
      </c>
    </row>
    <row r="1120" spans="1:3">
      <c r="A1120" s="102">
        <v>41192</v>
      </c>
      <c r="B1120" s="87">
        <v>748</v>
      </c>
      <c r="C1120" s="87">
        <v>242931</v>
      </c>
    </row>
    <row r="1121" spans="1:3">
      <c r="A1121" s="102">
        <v>41193</v>
      </c>
      <c r="B1121" s="87">
        <v>867</v>
      </c>
      <c r="C1121" s="87">
        <v>243170</v>
      </c>
    </row>
    <row r="1122" spans="1:3">
      <c r="A1122" s="102">
        <v>41194</v>
      </c>
      <c r="B1122" s="87">
        <v>1291</v>
      </c>
      <c r="C1122" s="87">
        <v>260477</v>
      </c>
    </row>
    <row r="1123" spans="1:3">
      <c r="A1123" s="102">
        <v>41197</v>
      </c>
      <c r="B1123" s="87">
        <v>1965</v>
      </c>
      <c r="C1123" s="87">
        <v>251358</v>
      </c>
    </row>
    <row r="1124" spans="1:3">
      <c r="A1124" s="102">
        <v>41198</v>
      </c>
      <c r="B1124" s="87">
        <v>1923</v>
      </c>
      <c r="C1124" s="87">
        <v>257880</v>
      </c>
    </row>
    <row r="1125" spans="1:3">
      <c r="A1125" s="102">
        <v>41199</v>
      </c>
      <c r="B1125" s="87">
        <v>921</v>
      </c>
      <c r="C1125" s="87">
        <v>261617</v>
      </c>
    </row>
    <row r="1126" spans="1:3">
      <c r="A1126" s="102">
        <v>41200</v>
      </c>
      <c r="B1126" s="87">
        <v>955</v>
      </c>
      <c r="C1126" s="87">
        <v>256452</v>
      </c>
    </row>
    <row r="1127" spans="1:3">
      <c r="A1127" s="102">
        <v>41201</v>
      </c>
      <c r="B1127" s="87">
        <v>1035</v>
      </c>
      <c r="C1127" s="87">
        <v>248711</v>
      </c>
    </row>
    <row r="1128" spans="1:3">
      <c r="A1128" s="102">
        <v>41204</v>
      </c>
      <c r="B1128" s="87">
        <v>1123</v>
      </c>
      <c r="C1128" s="87">
        <v>251571</v>
      </c>
    </row>
    <row r="1129" spans="1:3">
      <c r="A1129" s="102">
        <v>41205</v>
      </c>
      <c r="B1129" s="87">
        <v>946</v>
      </c>
      <c r="C1129" s="87">
        <v>246684</v>
      </c>
    </row>
    <row r="1130" spans="1:3">
      <c r="A1130" s="102">
        <v>41206</v>
      </c>
      <c r="B1130" s="87">
        <v>592</v>
      </c>
      <c r="C1130" s="87">
        <v>245073</v>
      </c>
    </row>
    <row r="1131" spans="1:3">
      <c r="A1131" s="102">
        <v>41207</v>
      </c>
      <c r="B1131" s="87">
        <v>527</v>
      </c>
      <c r="C1131" s="87">
        <v>248538</v>
      </c>
    </row>
    <row r="1132" spans="1:3">
      <c r="A1132" s="102">
        <v>41208</v>
      </c>
      <c r="B1132" s="87">
        <v>316</v>
      </c>
      <c r="C1132" s="87">
        <v>266967</v>
      </c>
    </row>
    <row r="1133" spans="1:3">
      <c r="A1133" s="102">
        <v>41211</v>
      </c>
      <c r="B1133" s="87">
        <v>251</v>
      </c>
      <c r="C1133" s="87">
        <v>273454</v>
      </c>
    </row>
    <row r="1134" spans="1:3">
      <c r="A1134" s="102">
        <v>41212</v>
      </c>
      <c r="B1134" s="87">
        <v>661</v>
      </c>
      <c r="C1134" s="87">
        <v>274050</v>
      </c>
    </row>
    <row r="1135" spans="1:3">
      <c r="A1135" s="102">
        <v>41213</v>
      </c>
      <c r="B1135" s="87">
        <v>7751</v>
      </c>
      <c r="C1135" s="87">
        <v>274049</v>
      </c>
    </row>
    <row r="1136" spans="1:3">
      <c r="A1136" s="102">
        <v>41214</v>
      </c>
      <c r="B1136" s="87">
        <v>408</v>
      </c>
      <c r="C1136" s="87">
        <v>258289</v>
      </c>
    </row>
    <row r="1137" spans="1:3">
      <c r="A1137" s="102">
        <v>41215</v>
      </c>
      <c r="B1137" s="87">
        <v>514</v>
      </c>
      <c r="C1137" s="87">
        <v>261368</v>
      </c>
    </row>
    <row r="1138" spans="1:3">
      <c r="A1138" s="102">
        <v>41218</v>
      </c>
      <c r="B1138" s="87">
        <v>503</v>
      </c>
      <c r="C1138" s="87">
        <v>261414</v>
      </c>
    </row>
    <row r="1139" spans="1:3">
      <c r="A1139" s="102">
        <v>41219</v>
      </c>
      <c r="B1139" s="87">
        <v>483</v>
      </c>
      <c r="C1139" s="87">
        <v>253101</v>
      </c>
    </row>
    <row r="1140" spans="1:3">
      <c r="A1140" s="102">
        <v>41220</v>
      </c>
      <c r="B1140" s="87">
        <v>502</v>
      </c>
      <c r="C1140" s="87">
        <v>255687</v>
      </c>
    </row>
    <row r="1141" spans="1:3">
      <c r="A1141" s="102">
        <v>41221</v>
      </c>
      <c r="B1141" s="87">
        <v>372</v>
      </c>
      <c r="C1141" s="87">
        <v>257847</v>
      </c>
    </row>
    <row r="1142" spans="1:3">
      <c r="A1142" s="102">
        <v>41222</v>
      </c>
      <c r="B1142" s="87">
        <v>881</v>
      </c>
      <c r="C1142" s="87">
        <v>248511</v>
      </c>
    </row>
    <row r="1143" spans="1:3">
      <c r="A1143" s="102">
        <v>41225</v>
      </c>
      <c r="B1143" s="87">
        <v>771</v>
      </c>
      <c r="C1143" s="87">
        <v>251564</v>
      </c>
    </row>
    <row r="1144" spans="1:3">
      <c r="A1144" s="102">
        <v>41226</v>
      </c>
      <c r="B1144" s="87">
        <v>842</v>
      </c>
      <c r="C1144" s="87">
        <v>239450</v>
      </c>
    </row>
    <row r="1145" spans="1:3">
      <c r="A1145" s="102">
        <v>41227</v>
      </c>
      <c r="B1145" s="87">
        <v>1572</v>
      </c>
      <c r="C1145" s="87">
        <v>217727</v>
      </c>
    </row>
    <row r="1146" spans="1:3">
      <c r="A1146" s="102">
        <v>41228</v>
      </c>
      <c r="B1146" s="87">
        <v>1872</v>
      </c>
      <c r="C1146" s="87">
        <v>214094</v>
      </c>
    </row>
    <row r="1147" spans="1:3">
      <c r="A1147" s="102">
        <v>41229</v>
      </c>
      <c r="B1147" s="87">
        <v>1822</v>
      </c>
      <c r="C1147" s="87">
        <v>215900</v>
      </c>
    </row>
    <row r="1148" spans="1:3">
      <c r="A1148" s="102">
        <v>41232</v>
      </c>
      <c r="B1148" s="87">
        <v>1850</v>
      </c>
      <c r="C1148" s="87">
        <v>240454</v>
      </c>
    </row>
    <row r="1149" spans="1:3">
      <c r="A1149" s="102">
        <v>41233</v>
      </c>
      <c r="B1149" s="87">
        <v>1835</v>
      </c>
      <c r="C1149" s="87">
        <v>229689</v>
      </c>
    </row>
    <row r="1150" spans="1:3">
      <c r="A1150" s="102">
        <v>41234</v>
      </c>
      <c r="B1150" s="87">
        <v>1867</v>
      </c>
      <c r="C1150" s="87">
        <v>226332</v>
      </c>
    </row>
    <row r="1151" spans="1:3">
      <c r="A1151" s="102">
        <v>41235</v>
      </c>
      <c r="B1151" s="87">
        <v>1984</v>
      </c>
      <c r="C1151" s="87">
        <v>228821</v>
      </c>
    </row>
    <row r="1152" spans="1:3">
      <c r="A1152" s="102">
        <v>41236</v>
      </c>
      <c r="B1152" s="87">
        <v>2433</v>
      </c>
      <c r="C1152" s="87">
        <v>233558</v>
      </c>
    </row>
    <row r="1153" spans="1:3">
      <c r="A1153" s="102">
        <v>41239</v>
      </c>
      <c r="B1153" s="87">
        <v>2431</v>
      </c>
      <c r="C1153" s="87">
        <v>245197</v>
      </c>
    </row>
    <row r="1154" spans="1:3">
      <c r="A1154" s="102">
        <v>41240</v>
      </c>
      <c r="B1154" s="87">
        <v>2458</v>
      </c>
      <c r="C1154" s="87">
        <v>241913</v>
      </c>
    </row>
    <row r="1155" spans="1:3">
      <c r="A1155" s="102">
        <v>41241</v>
      </c>
      <c r="B1155" s="87">
        <v>645</v>
      </c>
      <c r="C1155" s="87">
        <v>244982</v>
      </c>
    </row>
    <row r="1156" spans="1:3">
      <c r="A1156" s="102">
        <v>41242</v>
      </c>
      <c r="B1156" s="87">
        <v>1728</v>
      </c>
      <c r="C1156" s="87">
        <v>234999</v>
      </c>
    </row>
    <row r="1157" spans="1:3">
      <c r="A1157" s="102">
        <v>41243</v>
      </c>
      <c r="B1157" s="87">
        <v>1907</v>
      </c>
      <c r="C1157" s="87">
        <v>237813</v>
      </c>
    </row>
    <row r="1158" spans="1:3">
      <c r="A1158" s="102">
        <v>41246</v>
      </c>
      <c r="B1158" s="87">
        <v>1685</v>
      </c>
      <c r="C1158" s="87">
        <v>239440</v>
      </c>
    </row>
    <row r="1159" spans="1:3">
      <c r="A1159" s="102">
        <v>41247</v>
      </c>
      <c r="B1159" s="87">
        <v>1656</v>
      </c>
      <c r="C1159" s="87">
        <v>234755</v>
      </c>
    </row>
    <row r="1160" spans="1:3">
      <c r="A1160" s="102">
        <v>41248</v>
      </c>
      <c r="B1160" s="87">
        <v>665</v>
      </c>
      <c r="C1160" s="87">
        <v>229295</v>
      </c>
    </row>
    <row r="1161" spans="1:3">
      <c r="A1161" s="102">
        <v>41249</v>
      </c>
      <c r="B1161" s="87">
        <v>585</v>
      </c>
      <c r="C1161" s="87">
        <v>229967</v>
      </c>
    </row>
    <row r="1162" spans="1:3">
      <c r="A1162" s="102">
        <v>41250</v>
      </c>
      <c r="B1162" s="87">
        <v>562</v>
      </c>
      <c r="C1162" s="87">
        <v>235296</v>
      </c>
    </row>
    <row r="1163" spans="1:3">
      <c r="A1163" s="102">
        <v>41253</v>
      </c>
      <c r="B1163" s="87">
        <v>569</v>
      </c>
      <c r="C1163" s="87">
        <v>229013</v>
      </c>
    </row>
    <row r="1164" spans="1:3">
      <c r="A1164" s="102">
        <v>41254</v>
      </c>
      <c r="B1164" s="87">
        <v>507</v>
      </c>
      <c r="C1164" s="87">
        <v>236660</v>
      </c>
    </row>
    <row r="1165" spans="1:3">
      <c r="A1165" s="102">
        <v>41255</v>
      </c>
      <c r="B1165" s="87">
        <v>1398</v>
      </c>
      <c r="C1165" s="87">
        <v>195147</v>
      </c>
    </row>
    <row r="1166" spans="1:3">
      <c r="A1166" s="102">
        <v>41256</v>
      </c>
      <c r="B1166" s="87">
        <v>1396</v>
      </c>
      <c r="C1166" s="87">
        <v>204382</v>
      </c>
    </row>
    <row r="1167" spans="1:3">
      <c r="A1167" s="102">
        <v>41257</v>
      </c>
      <c r="B1167" s="87">
        <v>262</v>
      </c>
      <c r="C1167" s="87">
        <v>225063</v>
      </c>
    </row>
    <row r="1168" spans="1:3">
      <c r="A1168" s="102">
        <v>41260</v>
      </c>
      <c r="B1168" s="87">
        <v>520</v>
      </c>
      <c r="C1168" s="87">
        <v>249007</v>
      </c>
    </row>
    <row r="1169" spans="1:3">
      <c r="A1169" s="102">
        <v>41261</v>
      </c>
      <c r="B1169" s="87">
        <v>75</v>
      </c>
      <c r="C1169" s="87">
        <v>239109</v>
      </c>
    </row>
    <row r="1170" spans="1:3">
      <c r="A1170" s="102">
        <v>41262</v>
      </c>
      <c r="B1170" s="87">
        <v>913</v>
      </c>
      <c r="C1170" s="87">
        <v>232556</v>
      </c>
    </row>
    <row r="1171" spans="1:3">
      <c r="A1171" s="102">
        <v>41263</v>
      </c>
      <c r="B1171" s="87">
        <v>1941</v>
      </c>
      <c r="C1171" s="87">
        <v>231450</v>
      </c>
    </row>
    <row r="1172" spans="1:3">
      <c r="A1172" s="102">
        <v>41264</v>
      </c>
      <c r="B1172" s="87">
        <v>13871</v>
      </c>
      <c r="C1172" s="87">
        <v>229384</v>
      </c>
    </row>
    <row r="1173" spans="1:3">
      <c r="A1173" s="102">
        <v>41267</v>
      </c>
      <c r="B1173" s="87">
        <v>16251</v>
      </c>
      <c r="C1173" s="87">
        <v>221623</v>
      </c>
    </row>
    <row r="1174" spans="1:3">
      <c r="A1174" s="102">
        <v>41270</v>
      </c>
      <c r="B1174" s="87">
        <v>15998</v>
      </c>
      <c r="C1174" s="87">
        <v>252030</v>
      </c>
    </row>
    <row r="1175" spans="1:3">
      <c r="A1175" s="102">
        <v>41271</v>
      </c>
      <c r="B1175" s="87">
        <v>3362</v>
      </c>
      <c r="C1175" s="87">
        <v>261689</v>
      </c>
    </row>
    <row r="1176" spans="1:3">
      <c r="A1176" s="102">
        <v>41274</v>
      </c>
      <c r="B1176" s="87">
        <v>587</v>
      </c>
      <c r="C1176" s="87">
        <v>280219</v>
      </c>
    </row>
    <row r="1177" spans="1:3">
      <c r="A1177" s="102">
        <v>41276</v>
      </c>
      <c r="B1177" s="87">
        <v>120</v>
      </c>
      <c r="C1177" s="87">
        <v>275943</v>
      </c>
    </row>
    <row r="1178" spans="1:3">
      <c r="A1178" s="102">
        <v>41277</v>
      </c>
      <c r="B1178" s="87">
        <v>130</v>
      </c>
      <c r="C1178" s="87">
        <v>250478</v>
      </c>
    </row>
    <row r="1179" spans="1:3">
      <c r="A1179" s="102">
        <v>41278</v>
      </c>
      <c r="B1179" s="87">
        <v>127</v>
      </c>
      <c r="C1179" s="87">
        <v>252615</v>
      </c>
    </row>
    <row r="1180" spans="1:3">
      <c r="A1180" s="102">
        <v>41281</v>
      </c>
      <c r="B1180" s="87">
        <v>105</v>
      </c>
      <c r="C1180" s="87">
        <v>244528</v>
      </c>
    </row>
    <row r="1181" spans="1:3">
      <c r="A1181" s="102">
        <v>41282</v>
      </c>
      <c r="B1181" s="87">
        <v>121</v>
      </c>
      <c r="C1181" s="87">
        <v>243475</v>
      </c>
    </row>
    <row r="1182" spans="1:3">
      <c r="A1182" s="102">
        <v>41283</v>
      </c>
      <c r="B1182" s="87">
        <v>0</v>
      </c>
      <c r="C1182" s="87">
        <v>233586</v>
      </c>
    </row>
    <row r="1183" spans="1:3">
      <c r="A1183" s="102">
        <v>41284</v>
      </c>
      <c r="B1183" s="87">
        <v>192</v>
      </c>
      <c r="C1183" s="87">
        <v>231520</v>
      </c>
    </row>
    <row r="1184" spans="1:3">
      <c r="A1184" s="102">
        <v>41285</v>
      </c>
      <c r="B1184" s="87">
        <v>151</v>
      </c>
      <c r="C1184" s="87">
        <v>222608</v>
      </c>
    </row>
    <row r="1185" spans="1:3">
      <c r="A1185" s="102">
        <v>41288</v>
      </c>
      <c r="B1185" s="87">
        <v>1048</v>
      </c>
      <c r="C1185" s="87">
        <v>230533</v>
      </c>
    </row>
    <row r="1186" spans="1:3">
      <c r="A1186" s="102">
        <v>41289</v>
      </c>
      <c r="B1186" s="87">
        <v>589</v>
      </c>
      <c r="C1186" s="87">
        <v>230532</v>
      </c>
    </row>
    <row r="1187" spans="1:3">
      <c r="A1187" s="102">
        <v>41290</v>
      </c>
      <c r="B1187" s="87">
        <v>0</v>
      </c>
      <c r="C1187" s="87">
        <v>173298</v>
      </c>
    </row>
    <row r="1188" spans="1:3">
      <c r="A1188" s="102">
        <v>41291</v>
      </c>
      <c r="B1188" s="87">
        <v>900</v>
      </c>
      <c r="C1188" s="87">
        <v>179106</v>
      </c>
    </row>
    <row r="1189" spans="1:3">
      <c r="A1189" s="102">
        <v>41292</v>
      </c>
      <c r="B1189" s="87">
        <v>1032</v>
      </c>
      <c r="C1189" s="87">
        <v>196399</v>
      </c>
    </row>
    <row r="1190" spans="1:3">
      <c r="A1190" s="102">
        <v>41295</v>
      </c>
      <c r="B1190" s="87">
        <v>1004</v>
      </c>
      <c r="C1190" s="87">
        <v>207058</v>
      </c>
    </row>
    <row r="1191" spans="1:3">
      <c r="A1191" s="102">
        <v>41296</v>
      </c>
      <c r="B1191" s="87">
        <v>530</v>
      </c>
      <c r="C1191" s="87">
        <v>203612</v>
      </c>
    </row>
    <row r="1192" spans="1:3">
      <c r="A1192" s="102">
        <v>41297</v>
      </c>
      <c r="B1192" s="87">
        <v>0</v>
      </c>
      <c r="C1192" s="87">
        <v>206832</v>
      </c>
    </row>
    <row r="1193" spans="1:3">
      <c r="A1193" s="102">
        <v>41298</v>
      </c>
      <c r="B1193" s="87">
        <v>0</v>
      </c>
      <c r="C1193" s="87">
        <v>210290</v>
      </c>
    </row>
    <row r="1194" spans="1:3">
      <c r="A1194" s="102">
        <v>41299</v>
      </c>
      <c r="B1194" s="87">
        <v>2</v>
      </c>
      <c r="C1194" s="87">
        <v>207198</v>
      </c>
    </row>
    <row r="1195" spans="1:3">
      <c r="A1195" s="102">
        <v>41302</v>
      </c>
      <c r="B1195" s="87">
        <v>526</v>
      </c>
      <c r="C1195" s="87">
        <v>211782</v>
      </c>
    </row>
    <row r="1196" spans="1:3">
      <c r="A1196" s="102">
        <v>41303</v>
      </c>
      <c r="B1196" s="87">
        <v>4</v>
      </c>
      <c r="C1196" s="87">
        <v>208093</v>
      </c>
    </row>
    <row r="1197" spans="1:3">
      <c r="A1197" s="102">
        <v>41304</v>
      </c>
      <c r="B1197" s="87">
        <v>3010</v>
      </c>
      <c r="C1197" s="87">
        <v>165846</v>
      </c>
    </row>
    <row r="1198" spans="1:3">
      <c r="A1198" s="102">
        <v>41305</v>
      </c>
      <c r="B1198" s="87">
        <v>335</v>
      </c>
      <c r="C1198" s="87">
        <v>185346</v>
      </c>
    </row>
    <row r="1199" spans="1:3">
      <c r="A1199" s="102">
        <v>41306</v>
      </c>
      <c r="B1199" s="87">
        <v>7</v>
      </c>
      <c r="C1199" s="87">
        <v>180957</v>
      </c>
    </row>
    <row r="1200" spans="1:3">
      <c r="A1200" s="102">
        <v>41309</v>
      </c>
      <c r="B1200" s="87">
        <v>116</v>
      </c>
      <c r="C1200" s="87">
        <v>176170</v>
      </c>
    </row>
    <row r="1201" spans="1:3">
      <c r="A1201" s="102">
        <v>41310</v>
      </c>
      <c r="B1201" s="87">
        <v>105</v>
      </c>
      <c r="C1201" s="87">
        <v>178012</v>
      </c>
    </row>
    <row r="1202" spans="1:3">
      <c r="A1202" s="102">
        <v>41311</v>
      </c>
      <c r="B1202" s="87">
        <v>2</v>
      </c>
      <c r="C1202" s="87">
        <v>162082</v>
      </c>
    </row>
    <row r="1203" spans="1:3">
      <c r="A1203" s="102">
        <v>41312</v>
      </c>
      <c r="B1203" s="87">
        <v>16</v>
      </c>
      <c r="C1203" s="87">
        <v>152286</v>
      </c>
    </row>
    <row r="1204" spans="1:3">
      <c r="A1204" s="102">
        <v>41313</v>
      </c>
      <c r="B1204" s="87">
        <v>0</v>
      </c>
      <c r="C1204" s="87">
        <v>157198</v>
      </c>
    </row>
    <row r="1205" spans="1:3">
      <c r="A1205" s="102">
        <v>41316</v>
      </c>
      <c r="B1205" s="87">
        <v>42</v>
      </c>
      <c r="C1205" s="87">
        <v>159193</v>
      </c>
    </row>
    <row r="1206" spans="1:3">
      <c r="A1206" s="102">
        <v>41317</v>
      </c>
      <c r="B1206" s="87">
        <v>27</v>
      </c>
      <c r="C1206" s="87">
        <v>156853</v>
      </c>
    </row>
    <row r="1207" spans="1:3">
      <c r="A1207" s="102">
        <v>41318</v>
      </c>
      <c r="B1207" s="87">
        <v>23</v>
      </c>
      <c r="C1207" s="87">
        <v>125613</v>
      </c>
    </row>
    <row r="1208" spans="1:3">
      <c r="A1208" s="102">
        <v>41319</v>
      </c>
      <c r="B1208" s="87">
        <v>122</v>
      </c>
      <c r="C1208" s="87">
        <v>124279</v>
      </c>
    </row>
    <row r="1209" spans="1:3">
      <c r="A1209" s="102">
        <v>41320</v>
      </c>
      <c r="B1209" s="87">
        <v>1781</v>
      </c>
      <c r="C1209" s="87">
        <v>131885</v>
      </c>
    </row>
    <row r="1210" spans="1:3">
      <c r="A1210" s="102">
        <v>41323</v>
      </c>
      <c r="B1210" s="87">
        <v>3516</v>
      </c>
      <c r="C1210" s="87">
        <v>143519</v>
      </c>
    </row>
    <row r="1211" spans="1:3">
      <c r="A1211" s="102">
        <v>41324</v>
      </c>
      <c r="B1211" s="87">
        <v>5816</v>
      </c>
      <c r="C1211" s="87">
        <v>164510</v>
      </c>
    </row>
    <row r="1212" spans="1:3">
      <c r="A1212" s="102">
        <v>41325</v>
      </c>
      <c r="B1212" s="87">
        <v>3</v>
      </c>
      <c r="C1212" s="87">
        <v>165318</v>
      </c>
    </row>
    <row r="1213" spans="1:3">
      <c r="A1213" s="102">
        <v>41326</v>
      </c>
      <c r="B1213" s="87">
        <v>1</v>
      </c>
      <c r="C1213" s="87">
        <v>162244</v>
      </c>
    </row>
    <row r="1214" spans="1:3">
      <c r="A1214" s="102">
        <v>41327</v>
      </c>
      <c r="B1214" s="87">
        <v>1</v>
      </c>
      <c r="C1214" s="87">
        <v>166437</v>
      </c>
    </row>
    <row r="1215" spans="1:3">
      <c r="A1215" s="102">
        <v>41330</v>
      </c>
      <c r="B1215" s="87">
        <v>0</v>
      </c>
      <c r="C1215" s="87">
        <v>159760</v>
      </c>
    </row>
    <row r="1216" spans="1:3">
      <c r="A1216" s="102">
        <v>41331</v>
      </c>
      <c r="B1216" s="87">
        <v>0</v>
      </c>
      <c r="C1216" s="87">
        <v>163356</v>
      </c>
    </row>
    <row r="1217" spans="1:3">
      <c r="A1217" s="102">
        <v>41332</v>
      </c>
      <c r="B1217" s="87">
        <v>1325</v>
      </c>
      <c r="C1217" s="87">
        <v>136737</v>
      </c>
    </row>
    <row r="1218" spans="1:3">
      <c r="A1218" s="102">
        <v>41333</v>
      </c>
      <c r="B1218" s="87">
        <v>255</v>
      </c>
      <c r="C1218" s="87">
        <v>153707</v>
      </c>
    </row>
    <row r="1219" spans="1:3">
      <c r="A1219" s="102">
        <v>41334</v>
      </c>
      <c r="B1219" s="87">
        <v>483</v>
      </c>
      <c r="C1219" s="87">
        <v>144710</v>
      </c>
    </row>
    <row r="1220" spans="1:3">
      <c r="A1220" s="102">
        <v>41337</v>
      </c>
      <c r="B1220" s="87">
        <v>3635</v>
      </c>
      <c r="C1220" s="87">
        <v>142054</v>
      </c>
    </row>
    <row r="1221" spans="1:3">
      <c r="A1221" s="102">
        <v>41338</v>
      </c>
      <c r="B1221" s="87">
        <v>3490</v>
      </c>
      <c r="C1221" s="87">
        <v>146646</v>
      </c>
    </row>
    <row r="1222" spans="1:3">
      <c r="A1222" s="102">
        <v>41339</v>
      </c>
      <c r="B1222" s="87">
        <v>48</v>
      </c>
      <c r="C1222" s="87">
        <v>139396</v>
      </c>
    </row>
    <row r="1223" spans="1:3">
      <c r="A1223" s="102">
        <v>41340</v>
      </c>
      <c r="B1223" s="87">
        <v>206</v>
      </c>
      <c r="C1223" s="87">
        <v>129139</v>
      </c>
    </row>
    <row r="1224" spans="1:3">
      <c r="A1224" s="102">
        <v>41341</v>
      </c>
      <c r="B1224" s="87">
        <v>15</v>
      </c>
      <c r="C1224" s="87">
        <v>134083</v>
      </c>
    </row>
    <row r="1225" spans="1:3">
      <c r="A1225" s="102">
        <v>41344</v>
      </c>
      <c r="B1225" s="87">
        <v>24</v>
      </c>
      <c r="C1225" s="87">
        <v>131597</v>
      </c>
    </row>
    <row r="1226" spans="1:3">
      <c r="A1226" s="102">
        <v>41345</v>
      </c>
      <c r="B1226" s="87">
        <v>16</v>
      </c>
      <c r="C1226" s="87">
        <v>149351</v>
      </c>
    </row>
    <row r="1227" spans="1:3">
      <c r="A1227" s="102">
        <v>41346</v>
      </c>
      <c r="B1227" s="87">
        <v>197</v>
      </c>
      <c r="C1227" s="87">
        <v>112914</v>
      </c>
    </row>
    <row r="1228" spans="1:3">
      <c r="A1228" s="102">
        <v>41347</v>
      </c>
      <c r="B1228" s="87">
        <v>17</v>
      </c>
      <c r="C1228" s="87">
        <v>117834</v>
      </c>
    </row>
    <row r="1229" spans="1:3">
      <c r="A1229" s="102">
        <v>41348</v>
      </c>
      <c r="B1229" s="87">
        <v>12</v>
      </c>
      <c r="C1229" s="87">
        <v>132634</v>
      </c>
    </row>
    <row r="1230" spans="1:3">
      <c r="A1230" s="102">
        <v>41351</v>
      </c>
      <c r="B1230" s="87">
        <v>34</v>
      </c>
      <c r="C1230" s="87">
        <v>134961</v>
      </c>
    </row>
    <row r="1231" spans="1:3">
      <c r="A1231" s="102">
        <v>41352</v>
      </c>
      <c r="B1231" s="87">
        <v>12</v>
      </c>
      <c r="C1231" s="87">
        <v>133562</v>
      </c>
    </row>
    <row r="1232" spans="1:3">
      <c r="A1232" s="102">
        <v>41353</v>
      </c>
      <c r="B1232" s="87">
        <v>686</v>
      </c>
      <c r="C1232" s="87">
        <v>130534</v>
      </c>
    </row>
    <row r="1233" spans="1:3">
      <c r="A1233" s="102">
        <v>41354</v>
      </c>
      <c r="B1233" s="87">
        <v>148</v>
      </c>
      <c r="C1233" s="87">
        <v>132196</v>
      </c>
    </row>
    <row r="1234" spans="1:3">
      <c r="A1234" s="102">
        <v>41355</v>
      </c>
      <c r="B1234" s="87">
        <v>212</v>
      </c>
      <c r="C1234" s="87">
        <v>126755</v>
      </c>
    </row>
    <row r="1235" spans="1:3">
      <c r="A1235" s="102">
        <v>41358</v>
      </c>
      <c r="B1235" s="87">
        <v>1047</v>
      </c>
      <c r="C1235" s="87">
        <v>128934</v>
      </c>
    </row>
    <row r="1236" spans="1:3">
      <c r="A1236" s="102">
        <v>41359</v>
      </c>
      <c r="B1236" s="87">
        <v>1777</v>
      </c>
      <c r="C1236" s="87">
        <v>118182</v>
      </c>
    </row>
    <row r="1237" spans="1:3">
      <c r="A1237" s="102">
        <v>41360</v>
      </c>
      <c r="B1237" s="87">
        <v>368</v>
      </c>
      <c r="C1237" s="87">
        <v>145036</v>
      </c>
    </row>
    <row r="1238" spans="1:3">
      <c r="A1238" s="102">
        <v>41361</v>
      </c>
      <c r="B1238" s="87">
        <v>1507</v>
      </c>
      <c r="C1238" s="87">
        <v>144876</v>
      </c>
    </row>
    <row r="1239" spans="1:3">
      <c r="A1239" s="102">
        <v>41362</v>
      </c>
      <c r="B1239" s="87">
        <v>1507</v>
      </c>
      <c r="C1239" s="87">
        <v>144876</v>
      </c>
    </row>
    <row r="1240" spans="1:3">
      <c r="A1240" s="102">
        <v>41363</v>
      </c>
      <c r="B1240" s="87">
        <v>1507</v>
      </c>
      <c r="C1240" s="87">
        <v>144876</v>
      </c>
    </row>
    <row r="1241" spans="1:3">
      <c r="A1241" s="102">
        <v>41364</v>
      </c>
      <c r="B1241" s="87">
        <v>1507</v>
      </c>
      <c r="C1241" s="87">
        <v>144876</v>
      </c>
    </row>
    <row r="1242" spans="1:3">
      <c r="A1242" s="102">
        <v>41365</v>
      </c>
      <c r="B1242" s="87">
        <v>1507</v>
      </c>
      <c r="C1242" s="87">
        <v>144876</v>
      </c>
    </row>
    <row r="1243" spans="1:3">
      <c r="A1243" s="102">
        <v>41366</v>
      </c>
      <c r="B1243" s="87">
        <v>746</v>
      </c>
      <c r="C1243" s="87">
        <v>146175</v>
      </c>
    </row>
    <row r="1244" spans="1:3">
      <c r="A1244" s="102">
        <v>41367</v>
      </c>
      <c r="B1244" s="87">
        <v>233</v>
      </c>
      <c r="C1244" s="87">
        <v>139245</v>
      </c>
    </row>
    <row r="1245" spans="1:3">
      <c r="A1245" s="102">
        <v>41368</v>
      </c>
      <c r="B1245" s="87">
        <v>20</v>
      </c>
      <c r="C1245" s="87">
        <v>135500</v>
      </c>
    </row>
    <row r="1246" spans="1:3">
      <c r="A1246" s="102">
        <v>41369</v>
      </c>
      <c r="B1246" s="87">
        <v>19</v>
      </c>
      <c r="C1246" s="87">
        <v>134902</v>
      </c>
    </row>
    <row r="1247" spans="1:3">
      <c r="A1247" s="102">
        <v>41370</v>
      </c>
      <c r="B1247" s="87">
        <v>19</v>
      </c>
      <c r="C1247" s="87">
        <v>134902</v>
      </c>
    </row>
    <row r="1248" spans="1:3">
      <c r="A1248" s="102">
        <v>41371</v>
      </c>
      <c r="B1248" s="87">
        <v>19</v>
      </c>
      <c r="C1248" s="87">
        <v>134902</v>
      </c>
    </row>
    <row r="1249" spans="1:3">
      <c r="A1249" s="102">
        <v>41372</v>
      </c>
      <c r="B1249" s="87">
        <v>19</v>
      </c>
      <c r="C1249" s="87">
        <v>129510</v>
      </c>
    </row>
    <row r="1250" spans="1:3">
      <c r="A1250" s="102">
        <v>41373</v>
      </c>
      <c r="B1250" s="87">
        <v>588</v>
      </c>
      <c r="C1250" s="87">
        <v>136326</v>
      </c>
    </row>
    <row r="1251" spans="1:3">
      <c r="A1251" s="102">
        <v>41374</v>
      </c>
      <c r="B1251" s="87">
        <v>1104</v>
      </c>
      <c r="C1251" s="87">
        <v>99935</v>
      </c>
    </row>
    <row r="1252" spans="1:3">
      <c r="A1252" s="102">
        <v>41375</v>
      </c>
      <c r="B1252" s="87">
        <v>807</v>
      </c>
      <c r="C1252" s="87">
        <v>108854</v>
      </c>
    </row>
    <row r="1253" spans="1:3">
      <c r="A1253" s="102">
        <v>41376</v>
      </c>
      <c r="B1253" s="87">
        <v>575</v>
      </c>
      <c r="C1253" s="87">
        <v>119906</v>
      </c>
    </row>
    <row r="1254" spans="1:3">
      <c r="A1254" s="102">
        <v>41377</v>
      </c>
      <c r="B1254" s="87">
        <v>575</v>
      </c>
      <c r="C1254" s="87">
        <v>119906</v>
      </c>
    </row>
    <row r="1255" spans="1:3">
      <c r="A1255" s="102">
        <v>41378</v>
      </c>
      <c r="B1255" s="87">
        <v>575</v>
      </c>
      <c r="C1255" s="87">
        <v>119906</v>
      </c>
    </row>
    <row r="1256" spans="1:3">
      <c r="A1256" s="102">
        <v>41379</v>
      </c>
      <c r="B1256" s="87">
        <v>642</v>
      </c>
      <c r="C1256" s="87">
        <v>116204</v>
      </c>
    </row>
    <row r="1257" spans="1:3">
      <c r="A1257" s="102">
        <v>41380</v>
      </c>
      <c r="B1257" s="87">
        <v>660</v>
      </c>
      <c r="C1257" s="87">
        <v>115237</v>
      </c>
    </row>
    <row r="1258" spans="1:3">
      <c r="A1258" s="102">
        <v>41381</v>
      </c>
      <c r="B1258" s="87">
        <v>371</v>
      </c>
      <c r="C1258" s="87">
        <v>119557</v>
      </c>
    </row>
    <row r="1259" spans="1:3">
      <c r="A1259" s="102">
        <v>41382</v>
      </c>
      <c r="B1259" s="87">
        <v>0</v>
      </c>
      <c r="C1259" s="87">
        <v>115131</v>
      </c>
    </row>
    <row r="1260" spans="1:3">
      <c r="A1260" s="102">
        <v>41383</v>
      </c>
      <c r="B1260" s="87">
        <v>51</v>
      </c>
      <c r="C1260" s="87">
        <v>105590</v>
      </c>
    </row>
    <row r="1261" spans="1:3">
      <c r="A1261" s="102">
        <v>41384</v>
      </c>
      <c r="B1261" s="87">
        <v>51</v>
      </c>
      <c r="C1261" s="87">
        <v>105590</v>
      </c>
    </row>
    <row r="1262" spans="1:3">
      <c r="A1262" s="102">
        <v>41385</v>
      </c>
      <c r="B1262" s="87">
        <v>51</v>
      </c>
      <c r="C1262" s="87">
        <v>105590</v>
      </c>
    </row>
    <row r="1263" spans="1:3">
      <c r="A1263" s="102">
        <v>41386</v>
      </c>
      <c r="B1263" s="87">
        <v>0</v>
      </c>
      <c r="C1263" s="87">
        <v>108247</v>
      </c>
    </row>
    <row r="1264" spans="1:3">
      <c r="A1264" s="102">
        <v>41387</v>
      </c>
      <c r="B1264" s="87">
        <v>0</v>
      </c>
      <c r="C1264" s="87">
        <v>102413</v>
      </c>
    </row>
    <row r="1265" spans="1:3">
      <c r="A1265" s="102">
        <v>41388</v>
      </c>
      <c r="B1265" s="87">
        <v>5267</v>
      </c>
      <c r="C1265" s="87">
        <v>114079</v>
      </c>
    </row>
    <row r="1266" spans="1:3">
      <c r="A1266" s="102">
        <v>41389</v>
      </c>
      <c r="B1266" s="87">
        <v>2001</v>
      </c>
      <c r="C1266" s="87">
        <v>111473</v>
      </c>
    </row>
    <row r="1267" spans="1:3">
      <c r="A1267" s="102">
        <v>41390</v>
      </c>
      <c r="B1267" s="87">
        <v>5</v>
      </c>
      <c r="C1267" s="87">
        <v>109662</v>
      </c>
    </row>
    <row r="1268" spans="1:3">
      <c r="A1268" s="102">
        <v>41391</v>
      </c>
      <c r="B1268" s="87">
        <v>5</v>
      </c>
      <c r="C1268" s="87">
        <v>109662</v>
      </c>
    </row>
    <row r="1269" spans="1:3">
      <c r="A1269" s="102">
        <v>41392</v>
      </c>
      <c r="B1269" s="87">
        <v>5</v>
      </c>
      <c r="C1269" s="87">
        <v>109662</v>
      </c>
    </row>
    <row r="1270" spans="1:3">
      <c r="A1270" s="102">
        <v>41393</v>
      </c>
      <c r="B1270" s="87">
        <v>17</v>
      </c>
      <c r="C1270" s="87">
        <v>119131</v>
      </c>
    </row>
    <row r="1271" spans="1:3">
      <c r="A1271" s="102">
        <v>41394</v>
      </c>
      <c r="B1271" s="87">
        <v>20</v>
      </c>
      <c r="C1271" s="87">
        <v>120832</v>
      </c>
    </row>
    <row r="1272" spans="1:3">
      <c r="A1272" s="102">
        <v>41395</v>
      </c>
      <c r="B1272" s="87">
        <v>20</v>
      </c>
      <c r="C1272" s="87">
        <v>120832</v>
      </c>
    </row>
    <row r="1273" spans="1:3">
      <c r="A1273" s="102">
        <v>41396</v>
      </c>
      <c r="B1273" s="87">
        <v>1785</v>
      </c>
      <c r="C1273" s="87">
        <v>110171</v>
      </c>
    </row>
    <row r="1274" spans="1:3">
      <c r="A1274" s="102">
        <v>41397</v>
      </c>
      <c r="B1274" s="87">
        <v>1881</v>
      </c>
      <c r="C1274" s="87">
        <v>124102</v>
      </c>
    </row>
    <row r="1275" spans="1:3">
      <c r="A1275" s="102">
        <v>41398</v>
      </c>
      <c r="B1275" s="87">
        <v>1881</v>
      </c>
      <c r="C1275" s="87">
        <v>124102</v>
      </c>
    </row>
    <row r="1276" spans="1:3">
      <c r="A1276" s="102">
        <v>41399</v>
      </c>
      <c r="B1276" s="87">
        <v>1881</v>
      </c>
      <c r="C1276" s="87">
        <v>124102</v>
      </c>
    </row>
    <row r="1277" spans="1:3">
      <c r="A1277" s="102">
        <v>41400</v>
      </c>
      <c r="B1277" s="87">
        <v>1823</v>
      </c>
      <c r="C1277" s="87">
        <v>124856</v>
      </c>
    </row>
    <row r="1278" spans="1:3">
      <c r="A1278" s="102">
        <v>41401</v>
      </c>
      <c r="B1278" s="87">
        <v>1804</v>
      </c>
      <c r="C1278" s="87">
        <v>120445</v>
      </c>
    </row>
    <row r="1279" spans="1:3">
      <c r="A1279" s="102">
        <v>41402</v>
      </c>
      <c r="B1279" s="87">
        <v>309</v>
      </c>
      <c r="C1279" s="87">
        <v>81141</v>
      </c>
    </row>
    <row r="1280" spans="1:3">
      <c r="A1280" s="102">
        <v>41403</v>
      </c>
      <c r="B1280" s="87">
        <v>997</v>
      </c>
      <c r="C1280" s="87">
        <v>86469</v>
      </c>
    </row>
    <row r="1281" spans="1:3">
      <c r="A1281" s="102">
        <v>41404</v>
      </c>
      <c r="B1281" s="87">
        <v>1197</v>
      </c>
      <c r="C1281" s="87">
        <v>95339</v>
      </c>
    </row>
    <row r="1282" spans="1:3">
      <c r="A1282" s="102">
        <v>41405</v>
      </c>
      <c r="B1282" s="87">
        <v>1197</v>
      </c>
      <c r="C1282" s="87">
        <v>95339</v>
      </c>
    </row>
    <row r="1283" spans="1:3">
      <c r="A1283" s="102">
        <v>41406</v>
      </c>
      <c r="B1283" s="87">
        <v>1197</v>
      </c>
      <c r="C1283" s="87">
        <v>95339</v>
      </c>
    </row>
    <row r="1284" spans="1:3">
      <c r="A1284" s="102">
        <v>41407</v>
      </c>
      <c r="B1284" s="87">
        <v>1190</v>
      </c>
      <c r="C1284" s="87">
        <v>101419</v>
      </c>
    </row>
    <row r="1285" spans="1:3">
      <c r="A1285" s="102">
        <v>41408</v>
      </c>
      <c r="B1285" s="87">
        <v>1112</v>
      </c>
      <c r="C1285" s="87">
        <v>101540</v>
      </c>
    </row>
    <row r="1286" spans="1:3">
      <c r="A1286" s="102">
        <v>41409</v>
      </c>
      <c r="B1286" s="87">
        <v>91</v>
      </c>
      <c r="C1286" s="87">
        <v>96065</v>
      </c>
    </row>
    <row r="1287" spans="1:3">
      <c r="A1287" s="102">
        <v>41410</v>
      </c>
      <c r="B1287" s="87">
        <v>106</v>
      </c>
      <c r="C1287" s="87">
        <v>96651</v>
      </c>
    </row>
    <row r="1288" spans="1:3">
      <c r="A1288" s="102">
        <v>41411</v>
      </c>
      <c r="B1288" s="87">
        <v>122</v>
      </c>
      <c r="C1288" s="87">
        <v>83039</v>
      </c>
    </row>
    <row r="1289" spans="1:3">
      <c r="A1289" s="102">
        <v>41412</v>
      </c>
      <c r="B1289" s="87">
        <v>122</v>
      </c>
      <c r="C1289" s="87">
        <v>83039</v>
      </c>
    </row>
    <row r="1290" spans="1:3">
      <c r="A1290" s="102">
        <v>41413</v>
      </c>
      <c r="B1290" s="87">
        <v>122</v>
      </c>
      <c r="C1290" s="87">
        <v>83039</v>
      </c>
    </row>
    <row r="1291" spans="1:3">
      <c r="A1291" s="102">
        <v>41414</v>
      </c>
      <c r="B1291" s="87">
        <v>190</v>
      </c>
      <c r="C1291" s="87">
        <v>84993</v>
      </c>
    </row>
    <row r="1292" spans="1:3">
      <c r="A1292" s="102">
        <v>41415</v>
      </c>
      <c r="B1292" s="87">
        <v>206</v>
      </c>
      <c r="C1292" s="87">
        <v>81757</v>
      </c>
    </row>
    <row r="1293" spans="1:3">
      <c r="A1293" s="102">
        <v>41416</v>
      </c>
      <c r="B1293" s="87">
        <v>406</v>
      </c>
      <c r="C1293" s="87">
        <v>84406</v>
      </c>
    </row>
    <row r="1294" spans="1:3">
      <c r="A1294" s="102">
        <v>41417</v>
      </c>
      <c r="B1294" s="87">
        <v>497</v>
      </c>
      <c r="C1294" s="87">
        <v>90637</v>
      </c>
    </row>
    <row r="1295" spans="1:3">
      <c r="A1295" s="102">
        <v>41418</v>
      </c>
      <c r="B1295" s="87">
        <v>506</v>
      </c>
      <c r="C1295" s="87">
        <v>81037</v>
      </c>
    </row>
    <row r="1296" spans="1:3">
      <c r="A1296" s="102">
        <v>41419</v>
      </c>
      <c r="B1296" s="87">
        <v>506</v>
      </c>
      <c r="C1296" s="87">
        <v>81037</v>
      </c>
    </row>
    <row r="1297" spans="1:3">
      <c r="A1297" s="102">
        <v>41420</v>
      </c>
      <c r="B1297" s="87">
        <v>506</v>
      </c>
      <c r="C1297" s="87">
        <v>81037</v>
      </c>
    </row>
    <row r="1298" spans="1:3">
      <c r="A1298" s="102">
        <v>41421</v>
      </c>
      <c r="B1298" s="87">
        <v>236</v>
      </c>
      <c r="C1298" s="87">
        <v>86808</v>
      </c>
    </row>
    <row r="1299" spans="1:3">
      <c r="A1299" s="102">
        <v>41422</v>
      </c>
      <c r="B1299" s="87">
        <v>279</v>
      </c>
      <c r="C1299" s="87">
        <v>82449</v>
      </c>
    </row>
    <row r="1300" spans="1:3">
      <c r="A1300" s="102">
        <v>41423</v>
      </c>
      <c r="B1300" s="87">
        <v>52</v>
      </c>
      <c r="C1300" s="87">
        <v>82393</v>
      </c>
    </row>
    <row r="1301" spans="1:3">
      <c r="A1301" s="102">
        <v>41424</v>
      </c>
      <c r="B1301" s="87">
        <v>916</v>
      </c>
      <c r="C1301" s="87">
        <v>85560</v>
      </c>
    </row>
    <row r="1302" spans="1:3">
      <c r="A1302" s="102">
        <v>41425</v>
      </c>
      <c r="B1302" s="87">
        <v>24</v>
      </c>
      <c r="C1302" s="87">
        <v>85640</v>
      </c>
    </row>
    <row r="1303" spans="1:3">
      <c r="A1303" s="102">
        <v>41426</v>
      </c>
      <c r="B1303" s="87">
        <v>24</v>
      </c>
      <c r="C1303" s="87">
        <v>85640</v>
      </c>
    </row>
    <row r="1304" spans="1:3">
      <c r="A1304" s="102">
        <v>41427</v>
      </c>
      <c r="B1304" s="87">
        <v>24</v>
      </c>
      <c r="C1304" s="87">
        <v>85640</v>
      </c>
    </row>
    <row r="1305" spans="1:3">
      <c r="A1305" s="102">
        <v>41428</v>
      </c>
      <c r="B1305" s="87">
        <v>151</v>
      </c>
      <c r="C1305" s="87">
        <v>101898</v>
      </c>
    </row>
    <row r="1306" spans="1:3">
      <c r="A1306" s="102">
        <v>41429</v>
      </c>
      <c r="B1306" s="87">
        <v>34</v>
      </c>
      <c r="C1306" s="87">
        <v>101354</v>
      </c>
    </row>
    <row r="1307" spans="1:3">
      <c r="A1307" s="102">
        <v>41430</v>
      </c>
      <c r="B1307" s="87">
        <v>23</v>
      </c>
      <c r="C1307" s="87">
        <v>89550</v>
      </c>
    </row>
    <row r="1308" spans="1:3">
      <c r="A1308" s="102">
        <v>41431</v>
      </c>
      <c r="B1308" s="87">
        <v>1019</v>
      </c>
      <c r="C1308" s="87">
        <v>86872</v>
      </c>
    </row>
    <row r="1309" spans="1:3">
      <c r="A1309" s="102">
        <v>41432</v>
      </c>
      <c r="B1309" s="87">
        <v>1063</v>
      </c>
      <c r="C1309" s="87">
        <v>100881</v>
      </c>
    </row>
    <row r="1310" spans="1:3">
      <c r="A1310" s="102">
        <v>41433</v>
      </c>
      <c r="B1310" s="87">
        <v>1063</v>
      </c>
      <c r="C1310" s="87">
        <v>100881</v>
      </c>
    </row>
    <row r="1311" spans="1:3">
      <c r="A1311" s="102">
        <v>41434</v>
      </c>
      <c r="B1311" s="87">
        <v>1063</v>
      </c>
      <c r="C1311" s="87">
        <v>100881</v>
      </c>
    </row>
    <row r="1312" spans="1:3">
      <c r="A1312" s="102">
        <v>41435</v>
      </c>
      <c r="B1312" s="87">
        <v>1553</v>
      </c>
      <c r="C1312" s="87">
        <v>105856</v>
      </c>
    </row>
    <row r="1313" spans="1:3">
      <c r="A1313" s="102">
        <v>41436</v>
      </c>
      <c r="B1313" s="87">
        <v>917</v>
      </c>
      <c r="C1313" s="87">
        <v>102979</v>
      </c>
    </row>
    <row r="1314" spans="1:3">
      <c r="A1314" s="102">
        <v>41437</v>
      </c>
      <c r="B1314" s="87">
        <v>100</v>
      </c>
      <c r="C1314" s="87">
        <v>72417</v>
      </c>
    </row>
    <row r="1315" spans="1:3">
      <c r="A1315" s="102">
        <v>41438</v>
      </c>
      <c r="B1315" s="87">
        <v>101</v>
      </c>
      <c r="C1315" s="87">
        <v>82127</v>
      </c>
    </row>
    <row r="1316" spans="1:3">
      <c r="A1316" s="102">
        <v>41439</v>
      </c>
      <c r="B1316" s="87">
        <v>206</v>
      </c>
      <c r="C1316" s="87">
        <v>89957</v>
      </c>
    </row>
    <row r="1317" spans="1:3">
      <c r="A1317" s="102">
        <v>41440</v>
      </c>
      <c r="B1317" s="87">
        <v>206</v>
      </c>
      <c r="C1317" s="87">
        <v>89957</v>
      </c>
    </row>
    <row r="1318" spans="1:3">
      <c r="A1318" s="102">
        <v>41441</v>
      </c>
      <c r="B1318" s="87">
        <v>206</v>
      </c>
      <c r="C1318" s="87">
        <v>89957</v>
      </c>
    </row>
    <row r="1319" spans="1:3">
      <c r="A1319" s="102">
        <v>41442</v>
      </c>
      <c r="B1319" s="87">
        <v>275</v>
      </c>
      <c r="C1319" s="87">
        <v>101967</v>
      </c>
    </row>
    <row r="1320" spans="1:3">
      <c r="A1320" s="102">
        <v>41443</v>
      </c>
      <c r="B1320" s="87">
        <v>249</v>
      </c>
      <c r="C1320" s="87">
        <v>91609</v>
      </c>
    </row>
    <row r="1321" spans="1:3">
      <c r="A1321" s="102">
        <v>41444</v>
      </c>
      <c r="B1321" s="87">
        <v>6543</v>
      </c>
      <c r="C1321" s="87">
        <v>95059</v>
      </c>
    </row>
    <row r="1322" spans="1:3">
      <c r="A1322" s="102">
        <v>41445</v>
      </c>
      <c r="B1322" s="87">
        <v>3616</v>
      </c>
      <c r="C1322" s="87">
        <v>77865</v>
      </c>
    </row>
    <row r="1323" spans="1:3">
      <c r="A1323" s="102">
        <v>41446</v>
      </c>
      <c r="B1323" s="87">
        <v>3545</v>
      </c>
      <c r="C1323" s="87">
        <v>82964</v>
      </c>
    </row>
    <row r="1324" spans="1:3">
      <c r="A1324" s="102">
        <v>41447</v>
      </c>
      <c r="B1324" s="87">
        <v>3545</v>
      </c>
      <c r="C1324" s="87">
        <v>82964</v>
      </c>
    </row>
    <row r="1325" spans="1:3">
      <c r="A1325" s="102">
        <v>41448</v>
      </c>
      <c r="B1325" s="87">
        <v>3545</v>
      </c>
      <c r="C1325" s="87">
        <v>82964</v>
      </c>
    </row>
    <row r="1326" spans="1:3">
      <c r="A1326" s="102">
        <v>41449</v>
      </c>
      <c r="B1326" s="87">
        <v>5453</v>
      </c>
      <c r="C1326" s="87">
        <v>79727</v>
      </c>
    </row>
    <row r="1327" spans="1:3">
      <c r="A1327" s="102">
        <v>41450</v>
      </c>
      <c r="B1327" s="87">
        <v>5504</v>
      </c>
      <c r="C1327" s="87">
        <v>83195</v>
      </c>
    </row>
    <row r="1328" spans="1:3">
      <c r="A1328" s="102">
        <v>41451</v>
      </c>
      <c r="B1328" s="87">
        <v>50</v>
      </c>
      <c r="C1328" s="87">
        <v>79828</v>
      </c>
    </row>
    <row r="1329" spans="1:3">
      <c r="A1329" s="102">
        <v>41452</v>
      </c>
      <c r="B1329" s="87">
        <v>13</v>
      </c>
      <c r="C1329" s="87">
        <v>90088</v>
      </c>
    </row>
    <row r="1330" spans="1:3">
      <c r="A1330" s="102">
        <v>41453</v>
      </c>
      <c r="B1330" s="87">
        <v>29</v>
      </c>
      <c r="C1330" s="87">
        <v>92180</v>
      </c>
    </row>
    <row r="1331" spans="1:3">
      <c r="A1331" s="102">
        <v>41454</v>
      </c>
      <c r="B1331" s="87">
        <v>29</v>
      </c>
      <c r="C1331" s="87">
        <v>92180</v>
      </c>
    </row>
    <row r="1332" spans="1:3">
      <c r="A1332" s="102">
        <v>41455</v>
      </c>
      <c r="B1332" s="87">
        <v>29</v>
      </c>
      <c r="C1332" s="87">
        <v>92180</v>
      </c>
    </row>
    <row r="1333" spans="1:3">
      <c r="A1333" s="102">
        <v>41456</v>
      </c>
      <c r="B1333" s="87">
        <v>275</v>
      </c>
      <c r="C1333" s="87">
        <v>98503</v>
      </c>
    </row>
    <row r="1334" spans="1:3">
      <c r="A1334" s="102">
        <v>41457</v>
      </c>
      <c r="B1334" s="87">
        <v>147</v>
      </c>
      <c r="C1334" s="87">
        <v>100158</v>
      </c>
    </row>
    <row r="1335" spans="1:3">
      <c r="A1335" s="102">
        <v>41458</v>
      </c>
      <c r="B1335" s="87">
        <v>461</v>
      </c>
      <c r="C1335" s="87">
        <v>104748</v>
      </c>
    </row>
    <row r="1336" spans="1:3">
      <c r="A1336" s="102">
        <v>41459</v>
      </c>
      <c r="B1336" s="87">
        <v>52</v>
      </c>
      <c r="C1336" s="87">
        <v>103690</v>
      </c>
    </row>
    <row r="1337" spans="1:3">
      <c r="A1337" s="102">
        <v>41460</v>
      </c>
      <c r="B1337" s="87">
        <v>438</v>
      </c>
      <c r="C1337" s="87">
        <v>103862</v>
      </c>
    </row>
    <row r="1338" spans="1:3">
      <c r="A1338" s="102">
        <v>41461</v>
      </c>
      <c r="B1338" s="87">
        <v>438</v>
      </c>
      <c r="C1338" s="87">
        <v>103862</v>
      </c>
    </row>
    <row r="1339" spans="1:3">
      <c r="A1339" s="102">
        <v>41462</v>
      </c>
      <c r="B1339" s="87">
        <v>438</v>
      </c>
      <c r="C1339" s="87">
        <v>103862</v>
      </c>
    </row>
    <row r="1340" spans="1:3">
      <c r="A1340" s="102">
        <v>41463</v>
      </c>
      <c r="B1340" s="87">
        <v>620</v>
      </c>
      <c r="C1340" s="87">
        <v>101463</v>
      </c>
    </row>
    <row r="1341" spans="1:3">
      <c r="A1341" s="102">
        <v>41464</v>
      </c>
      <c r="B1341" s="87">
        <v>635</v>
      </c>
      <c r="C1341" s="87">
        <v>109964</v>
      </c>
    </row>
    <row r="1342" spans="1:3">
      <c r="A1342" s="102">
        <v>41465</v>
      </c>
      <c r="B1342" s="87">
        <v>278</v>
      </c>
      <c r="C1342" s="87">
        <v>84850</v>
      </c>
    </row>
    <row r="1343" spans="1:3">
      <c r="A1343" s="102">
        <v>41466</v>
      </c>
      <c r="B1343" s="87">
        <v>182</v>
      </c>
      <c r="C1343" s="87">
        <v>86404</v>
      </c>
    </row>
    <row r="1344" spans="1:3">
      <c r="A1344" s="102">
        <v>41467</v>
      </c>
      <c r="B1344" s="87">
        <v>135</v>
      </c>
      <c r="C1344" s="87">
        <v>94619</v>
      </c>
    </row>
    <row r="1345" spans="1:3">
      <c r="A1345" s="102">
        <v>41468</v>
      </c>
      <c r="B1345" s="87">
        <v>76</v>
      </c>
      <c r="C1345" s="87">
        <v>83407</v>
      </c>
    </row>
    <row r="1346" spans="1:3">
      <c r="A1346" s="102">
        <v>41469</v>
      </c>
      <c r="B1346" s="87">
        <v>93</v>
      </c>
      <c r="C1346" s="87">
        <v>84881</v>
      </c>
    </row>
    <row r="1347" spans="1:3">
      <c r="A1347" s="102">
        <v>41470</v>
      </c>
      <c r="B1347" s="87">
        <v>0</v>
      </c>
      <c r="C1347" s="87">
        <v>83893</v>
      </c>
    </row>
    <row r="1348" spans="1:3">
      <c r="A1348" s="102">
        <v>41471</v>
      </c>
      <c r="B1348" s="87">
        <v>17</v>
      </c>
      <c r="C1348" s="87">
        <v>82864</v>
      </c>
    </row>
    <row r="1349" spans="1:3">
      <c r="A1349" s="102">
        <v>41472</v>
      </c>
      <c r="B1349" s="87">
        <v>18</v>
      </c>
      <c r="C1349" s="87">
        <v>76431</v>
      </c>
    </row>
    <row r="1350" spans="1:3">
      <c r="A1350" s="102">
        <v>41473</v>
      </c>
      <c r="B1350" s="87">
        <v>154</v>
      </c>
      <c r="C1350" s="87">
        <v>78308</v>
      </c>
    </row>
    <row r="1351" spans="1:3">
      <c r="A1351" s="102">
        <v>41474</v>
      </c>
      <c r="B1351" s="87">
        <v>18</v>
      </c>
      <c r="C1351" s="87">
        <v>76431</v>
      </c>
    </row>
    <row r="1352" spans="1:3">
      <c r="A1352" s="102">
        <v>41475</v>
      </c>
      <c r="B1352" s="87">
        <v>18</v>
      </c>
      <c r="C1352" s="87">
        <v>76431</v>
      </c>
    </row>
    <row r="1353" spans="1:3">
      <c r="A1353" s="102">
        <v>41476</v>
      </c>
      <c r="B1353" s="87">
        <v>18</v>
      </c>
      <c r="C1353" s="87">
        <v>76431</v>
      </c>
    </row>
    <row r="1354" spans="1:3">
      <c r="A1354" s="102">
        <v>41477</v>
      </c>
      <c r="B1354" s="87">
        <v>154</v>
      </c>
      <c r="C1354" s="87">
        <v>78308</v>
      </c>
    </row>
    <row r="1355" spans="1:3">
      <c r="A1355" s="102">
        <v>41478</v>
      </c>
      <c r="B1355" s="87">
        <v>39</v>
      </c>
      <c r="C1355" s="87">
        <v>75946</v>
      </c>
    </row>
    <row r="1356" spans="1:3">
      <c r="A1356" s="102">
        <v>41479</v>
      </c>
      <c r="B1356" s="87">
        <v>1408</v>
      </c>
      <c r="C1356" s="87">
        <v>74375</v>
      </c>
    </row>
    <row r="1357" spans="1:3">
      <c r="A1357" s="102">
        <v>41480</v>
      </c>
      <c r="B1357" s="87">
        <v>1068</v>
      </c>
      <c r="C1357" s="87">
        <v>76438</v>
      </c>
    </row>
    <row r="1358" spans="1:3">
      <c r="A1358" s="102">
        <v>41481</v>
      </c>
      <c r="B1358" s="87">
        <v>729</v>
      </c>
      <c r="C1358" s="87">
        <v>79242</v>
      </c>
    </row>
    <row r="1359" spans="1:3">
      <c r="A1359" s="102">
        <v>41482</v>
      </c>
      <c r="B1359" s="87">
        <v>729</v>
      </c>
      <c r="C1359" s="87">
        <v>79242</v>
      </c>
    </row>
    <row r="1360" spans="1:3">
      <c r="A1360" s="102">
        <v>41483</v>
      </c>
      <c r="B1360" s="87">
        <v>729</v>
      </c>
      <c r="C1360" s="87">
        <v>79242</v>
      </c>
    </row>
    <row r="1361" spans="1:3">
      <c r="A1361" s="102">
        <v>41484</v>
      </c>
      <c r="B1361" s="87">
        <v>582</v>
      </c>
      <c r="C1361" s="87">
        <v>77868</v>
      </c>
    </row>
    <row r="1362" spans="1:3">
      <c r="A1362" s="102">
        <v>41485</v>
      </c>
      <c r="B1362" s="87">
        <v>28</v>
      </c>
      <c r="C1362" s="87">
        <v>79734</v>
      </c>
    </row>
    <row r="1363" spans="1:3">
      <c r="A1363" s="102">
        <v>41486</v>
      </c>
      <c r="B1363" s="87">
        <v>25</v>
      </c>
      <c r="C1363" s="87">
        <v>82647</v>
      </c>
    </row>
    <row r="1364" spans="1:3">
      <c r="A1364" s="102">
        <v>41487</v>
      </c>
      <c r="B1364" s="87">
        <v>169</v>
      </c>
      <c r="C1364" s="87">
        <v>78494</v>
      </c>
    </row>
    <row r="1365" spans="1:3">
      <c r="A1365" s="102">
        <v>41488</v>
      </c>
      <c r="B1365" s="87">
        <v>19</v>
      </c>
      <c r="C1365" s="87">
        <v>87348</v>
      </c>
    </row>
    <row r="1366" spans="1:3">
      <c r="A1366" s="102">
        <v>41489</v>
      </c>
      <c r="B1366" s="87">
        <v>19</v>
      </c>
      <c r="C1366" s="87">
        <v>87348</v>
      </c>
    </row>
    <row r="1367" spans="1:3">
      <c r="A1367" s="102">
        <v>41490</v>
      </c>
      <c r="B1367" s="87">
        <v>19</v>
      </c>
      <c r="C1367" s="87">
        <v>87348</v>
      </c>
    </row>
    <row r="1368" spans="1:3">
      <c r="A1368" s="102">
        <v>41491</v>
      </c>
      <c r="B1368" s="87">
        <v>20</v>
      </c>
      <c r="C1368" s="87">
        <v>85430</v>
      </c>
    </row>
    <row r="1369" spans="1:3">
      <c r="A1369" s="102">
        <v>41492</v>
      </c>
      <c r="B1369" s="87">
        <v>21</v>
      </c>
      <c r="C1369" s="87">
        <v>84904</v>
      </c>
    </row>
    <row r="1370" spans="1:3">
      <c r="A1370" s="102">
        <v>41493</v>
      </c>
      <c r="B1370" s="87">
        <v>36</v>
      </c>
      <c r="C1370" s="87">
        <v>68612</v>
      </c>
    </row>
    <row r="1371" spans="1:3">
      <c r="A1371" s="102">
        <v>41494</v>
      </c>
      <c r="B1371" s="87">
        <v>16</v>
      </c>
      <c r="C1371" s="87">
        <v>70146</v>
      </c>
    </row>
    <row r="1372" spans="1:3">
      <c r="A1372" s="102">
        <v>41495</v>
      </c>
      <c r="B1372" s="87">
        <v>212</v>
      </c>
      <c r="C1372" s="87">
        <v>76997</v>
      </c>
    </row>
    <row r="1373" spans="1:3">
      <c r="A1373" s="102">
        <v>41496</v>
      </c>
      <c r="B1373" s="87">
        <v>212</v>
      </c>
      <c r="C1373" s="87">
        <v>76997</v>
      </c>
    </row>
    <row r="1374" spans="1:3">
      <c r="A1374" s="102">
        <v>41497</v>
      </c>
      <c r="B1374" s="87">
        <v>212</v>
      </c>
      <c r="C1374" s="87">
        <v>76997</v>
      </c>
    </row>
    <row r="1375" spans="1:3">
      <c r="A1375" s="102">
        <v>41498</v>
      </c>
      <c r="B1375" s="87">
        <v>202</v>
      </c>
      <c r="C1375" s="87">
        <v>77846</v>
      </c>
    </row>
    <row r="1376" spans="1:3">
      <c r="A1376" s="102">
        <v>41499</v>
      </c>
      <c r="B1376" s="87">
        <v>311</v>
      </c>
      <c r="C1376" s="87">
        <v>81779</v>
      </c>
    </row>
    <row r="1377" spans="1:3">
      <c r="A1377" s="102">
        <v>41500</v>
      </c>
      <c r="B1377" s="87">
        <v>86</v>
      </c>
      <c r="C1377" s="87">
        <v>83057</v>
      </c>
    </row>
    <row r="1378" spans="1:3">
      <c r="A1378" s="102">
        <v>41501</v>
      </c>
      <c r="B1378" s="87">
        <v>94</v>
      </c>
      <c r="C1378" s="87">
        <v>81111</v>
      </c>
    </row>
    <row r="1379" spans="1:3">
      <c r="A1379" s="102">
        <v>41502</v>
      </c>
      <c r="B1379" s="87">
        <v>111</v>
      </c>
      <c r="C1379" s="87">
        <v>81202</v>
      </c>
    </row>
    <row r="1380" spans="1:3">
      <c r="A1380" s="102">
        <v>41503</v>
      </c>
      <c r="B1380" s="87">
        <v>111</v>
      </c>
      <c r="C1380" s="87">
        <v>81202</v>
      </c>
    </row>
    <row r="1381" spans="1:3">
      <c r="A1381" s="102">
        <v>41504</v>
      </c>
      <c r="B1381" s="87">
        <v>111</v>
      </c>
      <c r="C1381" s="87">
        <v>81202</v>
      </c>
    </row>
    <row r="1382" spans="1:3">
      <c r="A1382" s="102">
        <v>41505</v>
      </c>
      <c r="B1382" s="87">
        <v>76</v>
      </c>
      <c r="C1382" s="87">
        <v>82159</v>
      </c>
    </row>
    <row r="1383" spans="1:3">
      <c r="A1383" s="102">
        <v>41506</v>
      </c>
      <c r="B1383" s="87">
        <v>39</v>
      </c>
      <c r="C1383" s="87">
        <v>87432</v>
      </c>
    </row>
    <row r="1384" spans="1:3">
      <c r="A1384" s="102">
        <v>41507</v>
      </c>
      <c r="B1384" s="87">
        <v>6</v>
      </c>
      <c r="C1384" s="87">
        <v>83553</v>
      </c>
    </row>
    <row r="1385" spans="1:3">
      <c r="A1385" s="102">
        <v>41508</v>
      </c>
      <c r="B1385" s="87">
        <v>7</v>
      </c>
      <c r="C1385" s="87">
        <v>86477</v>
      </c>
    </row>
    <row r="1386" spans="1:3">
      <c r="A1386" s="102">
        <v>41509</v>
      </c>
      <c r="B1386" s="87">
        <v>15</v>
      </c>
      <c r="C1386" s="87">
        <v>87224</v>
      </c>
    </row>
    <row r="1387" spans="1:3">
      <c r="A1387" s="102">
        <v>41510</v>
      </c>
      <c r="B1387" s="87">
        <v>15</v>
      </c>
      <c r="C1387" s="87">
        <v>87224</v>
      </c>
    </row>
    <row r="1388" spans="1:3">
      <c r="A1388" s="102">
        <v>41511</v>
      </c>
      <c r="B1388" s="87">
        <v>15</v>
      </c>
      <c r="C1388" s="87">
        <v>87224</v>
      </c>
    </row>
    <row r="1389" spans="1:3">
      <c r="A1389" s="102">
        <v>41512</v>
      </c>
      <c r="B1389" s="87">
        <v>140</v>
      </c>
      <c r="C1389" s="87">
        <v>82731</v>
      </c>
    </row>
    <row r="1390" spans="1:3">
      <c r="A1390" s="102">
        <v>41513</v>
      </c>
      <c r="B1390" s="87">
        <v>229</v>
      </c>
      <c r="C1390" s="87">
        <v>80358</v>
      </c>
    </row>
    <row r="1391" spans="1:3">
      <c r="A1391" s="102">
        <v>41514</v>
      </c>
      <c r="B1391" s="87">
        <v>1031</v>
      </c>
      <c r="C1391" s="87">
        <v>63846</v>
      </c>
    </row>
    <row r="1392" spans="1:3">
      <c r="A1392" s="102">
        <v>41515</v>
      </c>
      <c r="B1392" s="87">
        <v>106</v>
      </c>
      <c r="C1392" s="87">
        <v>66410</v>
      </c>
    </row>
    <row r="1393" spans="1:3">
      <c r="A1393" s="102">
        <v>41516</v>
      </c>
      <c r="B1393" s="87">
        <v>131</v>
      </c>
      <c r="C1393" s="87">
        <v>70569</v>
      </c>
    </row>
    <row r="1394" spans="1:3">
      <c r="A1394" s="102">
        <v>41517</v>
      </c>
      <c r="B1394" s="87">
        <v>131</v>
      </c>
      <c r="C1394" s="87">
        <v>70569</v>
      </c>
    </row>
    <row r="1395" spans="1:3">
      <c r="A1395" s="102">
        <v>41518</v>
      </c>
      <c r="B1395" s="87">
        <v>131</v>
      </c>
      <c r="C1395" s="87">
        <v>70569</v>
      </c>
    </row>
    <row r="1396" spans="1:3">
      <c r="A1396" s="102">
        <v>41519</v>
      </c>
      <c r="B1396" s="87">
        <v>121</v>
      </c>
      <c r="C1396" s="87">
        <v>80526</v>
      </c>
    </row>
    <row r="1397" spans="1:3">
      <c r="A1397" s="102">
        <v>41520</v>
      </c>
      <c r="B1397" s="87">
        <v>140</v>
      </c>
      <c r="C1397" s="87">
        <v>86536</v>
      </c>
    </row>
    <row r="1398" spans="1:3">
      <c r="A1398" s="102">
        <v>41521</v>
      </c>
      <c r="B1398" s="87">
        <v>57</v>
      </c>
      <c r="C1398" s="87">
        <v>86055</v>
      </c>
    </row>
    <row r="1399" spans="1:3">
      <c r="A1399" s="102">
        <v>41522</v>
      </c>
      <c r="B1399" s="87">
        <v>1545</v>
      </c>
      <c r="C1399" s="87">
        <v>78182</v>
      </c>
    </row>
    <row r="1400" spans="1:3">
      <c r="A1400" s="102">
        <v>41523</v>
      </c>
      <c r="B1400" s="87">
        <v>2249</v>
      </c>
      <c r="C1400" s="87">
        <v>79934</v>
      </c>
    </row>
    <row r="1401" spans="1:3">
      <c r="A1401" s="102">
        <v>41524</v>
      </c>
      <c r="B1401" s="87">
        <v>2249</v>
      </c>
      <c r="C1401" s="87">
        <v>79934</v>
      </c>
    </row>
    <row r="1402" spans="1:3">
      <c r="A1402" s="102">
        <v>41525</v>
      </c>
      <c r="B1402" s="87">
        <v>2249</v>
      </c>
      <c r="C1402" s="87">
        <v>79934</v>
      </c>
    </row>
    <row r="1403" spans="1:3">
      <c r="A1403" s="102">
        <v>41526</v>
      </c>
      <c r="B1403" s="87">
        <v>1700</v>
      </c>
      <c r="C1403" s="87">
        <v>71223</v>
      </c>
    </row>
    <row r="1404" spans="1:3">
      <c r="A1404" s="102">
        <v>41527</v>
      </c>
      <c r="B1404" s="87">
        <v>1472</v>
      </c>
      <c r="C1404" s="87">
        <v>86028</v>
      </c>
    </row>
    <row r="1405" spans="1:3">
      <c r="A1405" s="102">
        <v>41528</v>
      </c>
      <c r="B1405" s="87">
        <v>0</v>
      </c>
      <c r="C1405" s="87">
        <v>68560</v>
      </c>
    </row>
    <row r="1406" spans="1:3">
      <c r="A1406" s="102">
        <v>41529</v>
      </c>
      <c r="B1406" s="87">
        <v>60</v>
      </c>
      <c r="C1406" s="87">
        <v>59152</v>
      </c>
    </row>
    <row r="1407" spans="1:3">
      <c r="A1407" s="102">
        <v>41530</v>
      </c>
      <c r="B1407" s="87">
        <v>67</v>
      </c>
      <c r="C1407" s="87">
        <v>71425</v>
      </c>
    </row>
    <row r="1408" spans="1:3">
      <c r="A1408" s="102">
        <v>41531</v>
      </c>
      <c r="B1408" s="87">
        <v>67</v>
      </c>
      <c r="C1408" s="87">
        <v>71425</v>
      </c>
    </row>
    <row r="1409" spans="1:3">
      <c r="A1409" s="102">
        <v>41532</v>
      </c>
      <c r="B1409" s="87">
        <v>67</v>
      </c>
      <c r="C1409" s="87">
        <v>71425</v>
      </c>
    </row>
    <row r="1410" spans="1:3">
      <c r="A1410" s="102">
        <v>41533</v>
      </c>
      <c r="B1410" s="87">
        <v>61</v>
      </c>
      <c r="C1410" s="87">
        <v>69358</v>
      </c>
    </row>
    <row r="1411" spans="1:3">
      <c r="A1411" s="102">
        <v>41534</v>
      </c>
      <c r="B1411" s="87">
        <v>86</v>
      </c>
      <c r="C1411" s="87">
        <v>66467</v>
      </c>
    </row>
    <row r="1412" spans="1:3">
      <c r="A1412" s="102">
        <v>41535</v>
      </c>
      <c r="B1412" s="87">
        <v>140</v>
      </c>
      <c r="C1412" s="87">
        <v>58754</v>
      </c>
    </row>
    <row r="1413" spans="1:3">
      <c r="A1413" s="102">
        <v>41536</v>
      </c>
      <c r="B1413" s="87">
        <v>570</v>
      </c>
      <c r="C1413" s="87">
        <v>55384</v>
      </c>
    </row>
    <row r="1414" spans="1:3">
      <c r="A1414" s="102">
        <v>41537</v>
      </c>
      <c r="B1414" s="87">
        <v>246</v>
      </c>
      <c r="C1414" s="87">
        <v>50060</v>
      </c>
    </row>
    <row r="1415" spans="1:3">
      <c r="A1415" s="102">
        <v>41538</v>
      </c>
      <c r="B1415" s="87">
        <v>246</v>
      </c>
      <c r="C1415" s="87">
        <v>50060</v>
      </c>
    </row>
    <row r="1416" spans="1:3">
      <c r="A1416" s="102">
        <v>41539</v>
      </c>
      <c r="B1416" s="87">
        <v>246</v>
      </c>
      <c r="C1416" s="87">
        <v>50060</v>
      </c>
    </row>
    <row r="1417" spans="1:3">
      <c r="A1417" s="102">
        <v>41540</v>
      </c>
      <c r="B1417" s="87">
        <v>110</v>
      </c>
      <c r="C1417" s="87">
        <v>49492</v>
      </c>
    </row>
    <row r="1418" spans="1:3">
      <c r="A1418" s="102">
        <v>41541</v>
      </c>
      <c r="B1418" s="87">
        <v>295</v>
      </c>
      <c r="C1418" s="87">
        <v>48855</v>
      </c>
    </row>
    <row r="1419" spans="1:3">
      <c r="A1419" s="102">
        <v>41542</v>
      </c>
      <c r="B1419" s="87">
        <v>125</v>
      </c>
      <c r="C1419" s="87">
        <v>61330</v>
      </c>
    </row>
    <row r="1420" spans="1:3">
      <c r="A1420" s="102">
        <v>41543</v>
      </c>
      <c r="B1420" s="87">
        <v>150</v>
      </c>
      <c r="C1420" s="87">
        <v>51499</v>
      </c>
    </row>
    <row r="1421" spans="1:3">
      <c r="A1421" s="102">
        <v>41544</v>
      </c>
      <c r="B1421" s="87">
        <v>120</v>
      </c>
      <c r="C1421" s="87">
        <v>52870</v>
      </c>
    </row>
    <row r="1422" spans="1:3">
      <c r="A1422" s="102">
        <v>41545</v>
      </c>
      <c r="B1422" s="87">
        <v>689</v>
      </c>
      <c r="C1422" s="87">
        <v>66856</v>
      </c>
    </row>
    <row r="1423" spans="1:3">
      <c r="A1423" s="102">
        <v>41546</v>
      </c>
      <c r="B1423" s="87">
        <v>25</v>
      </c>
      <c r="C1423" s="87">
        <v>52679</v>
      </c>
    </row>
    <row r="1424" spans="1:3">
      <c r="A1424" s="102">
        <v>41547</v>
      </c>
      <c r="B1424" s="87">
        <v>689</v>
      </c>
      <c r="C1424" s="87">
        <v>66856</v>
      </c>
    </row>
    <row r="1425" spans="1:3">
      <c r="A1425" s="102">
        <v>41548</v>
      </c>
      <c r="B1425" s="87">
        <v>25</v>
      </c>
      <c r="C1425" s="87">
        <v>52679</v>
      </c>
    </row>
    <row r="1426" spans="1:3">
      <c r="A1426" s="102">
        <v>41549</v>
      </c>
      <c r="B1426" s="87">
        <v>145</v>
      </c>
      <c r="C1426" s="87">
        <v>55741</v>
      </c>
    </row>
    <row r="1427" spans="1:3">
      <c r="A1427" s="102">
        <v>41550</v>
      </c>
      <c r="B1427" s="87">
        <v>138</v>
      </c>
      <c r="C1427" s="87">
        <v>57218</v>
      </c>
    </row>
    <row r="1428" spans="1:3">
      <c r="A1428" s="102">
        <v>41551</v>
      </c>
      <c r="B1428" s="87">
        <v>101</v>
      </c>
      <c r="C1428" s="87">
        <v>55336</v>
      </c>
    </row>
    <row r="1429" spans="1:3">
      <c r="A1429" s="102">
        <v>41552</v>
      </c>
      <c r="B1429" s="87">
        <v>101</v>
      </c>
      <c r="C1429" s="87">
        <v>55336</v>
      </c>
    </row>
    <row r="1430" spans="1:3">
      <c r="A1430" s="102">
        <v>41553</v>
      </c>
      <c r="B1430" s="87">
        <v>101</v>
      </c>
      <c r="C1430" s="87">
        <v>55336</v>
      </c>
    </row>
    <row r="1431" spans="1:3">
      <c r="A1431" s="102">
        <v>41554</v>
      </c>
      <c r="B1431" s="87">
        <v>66</v>
      </c>
      <c r="C1431" s="87">
        <v>65582</v>
      </c>
    </row>
    <row r="1432" spans="1:3">
      <c r="A1432" s="102">
        <v>41555</v>
      </c>
      <c r="B1432" s="87">
        <v>41</v>
      </c>
      <c r="C1432" s="87">
        <v>72318</v>
      </c>
    </row>
    <row r="1433" spans="1:3">
      <c r="A1433" s="102">
        <v>41556</v>
      </c>
      <c r="B1433" s="87">
        <v>100</v>
      </c>
      <c r="C1433" s="87">
        <v>46158</v>
      </c>
    </row>
    <row r="1434" spans="1:3">
      <c r="A1434" s="102">
        <v>41557</v>
      </c>
      <c r="B1434" s="87">
        <v>119</v>
      </c>
      <c r="C1434" s="87">
        <v>42088</v>
      </c>
    </row>
    <row r="1435" spans="1:3">
      <c r="A1435" s="102">
        <v>41558</v>
      </c>
      <c r="B1435" s="87">
        <v>314</v>
      </c>
      <c r="C1435" s="87">
        <v>52553</v>
      </c>
    </row>
    <row r="1436" spans="1:3">
      <c r="A1436" s="102">
        <v>41559</v>
      </c>
      <c r="B1436" s="87">
        <v>314</v>
      </c>
      <c r="C1436" s="87">
        <v>52553</v>
      </c>
    </row>
    <row r="1437" spans="1:3">
      <c r="A1437" s="102">
        <v>41560</v>
      </c>
      <c r="B1437" s="87">
        <v>314</v>
      </c>
      <c r="C1437" s="87">
        <v>52553</v>
      </c>
    </row>
    <row r="1438" spans="1:3">
      <c r="A1438" s="102">
        <v>41561</v>
      </c>
      <c r="B1438" s="87">
        <v>4</v>
      </c>
      <c r="C1438" s="87">
        <v>59353</v>
      </c>
    </row>
    <row r="1439" spans="1:3">
      <c r="A1439" s="102">
        <v>41562</v>
      </c>
      <c r="B1439" s="87">
        <v>9</v>
      </c>
      <c r="C1439" s="87">
        <v>48269</v>
      </c>
    </row>
    <row r="1440" spans="1:3">
      <c r="A1440" s="102">
        <v>41563</v>
      </c>
      <c r="B1440" s="87">
        <v>0</v>
      </c>
      <c r="C1440" s="87">
        <v>46818</v>
      </c>
    </row>
    <row r="1441" spans="1:3">
      <c r="A1441" s="102">
        <v>41564</v>
      </c>
      <c r="B1441" s="87">
        <v>0</v>
      </c>
      <c r="C1441" s="87">
        <v>44750</v>
      </c>
    </row>
    <row r="1442" spans="1:3">
      <c r="A1442" s="102">
        <v>41565</v>
      </c>
      <c r="B1442" s="87">
        <v>0</v>
      </c>
      <c r="C1442" s="87">
        <v>45667</v>
      </c>
    </row>
    <row r="1443" spans="1:3">
      <c r="A1443" s="102">
        <v>41566</v>
      </c>
      <c r="B1443" s="87">
        <v>0</v>
      </c>
      <c r="C1443" s="87">
        <v>45667</v>
      </c>
    </row>
    <row r="1444" spans="1:3">
      <c r="A1444" s="102">
        <v>41567</v>
      </c>
      <c r="B1444" s="87">
        <v>0</v>
      </c>
      <c r="C1444" s="87">
        <v>45667</v>
      </c>
    </row>
    <row r="1445" spans="1:3">
      <c r="A1445" s="102">
        <v>41568</v>
      </c>
      <c r="B1445" s="87">
        <v>136</v>
      </c>
      <c r="C1445" s="87">
        <v>49880</v>
      </c>
    </row>
    <row r="1446" spans="1:3">
      <c r="A1446" s="102">
        <v>41569</v>
      </c>
      <c r="B1446" s="87">
        <v>0</v>
      </c>
      <c r="C1446" s="87">
        <v>48828</v>
      </c>
    </row>
    <row r="1447" spans="1:3">
      <c r="A1447" s="102">
        <v>41570</v>
      </c>
      <c r="B1447" s="87">
        <v>0</v>
      </c>
      <c r="C1447" s="87">
        <v>50165</v>
      </c>
    </row>
    <row r="1448" spans="1:3">
      <c r="A1448" s="102">
        <v>41571</v>
      </c>
      <c r="B1448" s="87">
        <v>0</v>
      </c>
      <c r="C1448" s="87">
        <v>53232</v>
      </c>
    </row>
    <row r="1449" spans="1:3">
      <c r="A1449" s="102">
        <v>41572</v>
      </c>
      <c r="B1449" s="87">
        <v>0</v>
      </c>
      <c r="C1449" s="87">
        <v>51336</v>
      </c>
    </row>
    <row r="1450" spans="1:3">
      <c r="A1450" s="102">
        <v>41573</v>
      </c>
      <c r="B1450" s="87">
        <v>0</v>
      </c>
      <c r="C1450" s="87">
        <v>51336</v>
      </c>
    </row>
    <row r="1451" spans="1:3">
      <c r="A1451" s="102">
        <v>41574</v>
      </c>
      <c r="B1451" s="87">
        <v>0</v>
      </c>
      <c r="C1451" s="87">
        <v>51336</v>
      </c>
    </row>
    <row r="1452" spans="1:3">
      <c r="A1452" s="102">
        <v>41575</v>
      </c>
      <c r="B1452" s="87">
        <v>2</v>
      </c>
      <c r="C1452" s="87">
        <v>56708</v>
      </c>
    </row>
    <row r="1453" spans="1:3">
      <c r="A1453" s="102">
        <v>41576</v>
      </c>
      <c r="B1453" s="87">
        <v>1</v>
      </c>
      <c r="C1453" s="87">
        <v>50530</v>
      </c>
    </row>
    <row r="1454" spans="1:3">
      <c r="A1454" s="102">
        <v>41577</v>
      </c>
      <c r="B1454" s="87">
        <v>45</v>
      </c>
      <c r="C1454" s="87">
        <v>45135</v>
      </c>
    </row>
    <row r="1455" spans="1:3">
      <c r="A1455" s="102">
        <v>41578</v>
      </c>
      <c r="B1455" s="87">
        <v>431</v>
      </c>
      <c r="C1455" s="87">
        <v>54141</v>
      </c>
    </row>
    <row r="1456" spans="1:3">
      <c r="A1456" s="102">
        <v>41579</v>
      </c>
      <c r="B1456" s="87">
        <v>24</v>
      </c>
      <c r="C1456" s="87">
        <v>52127</v>
      </c>
    </row>
    <row r="1457" spans="1:3">
      <c r="A1457" s="102">
        <v>41580</v>
      </c>
      <c r="B1457" s="87">
        <v>24</v>
      </c>
      <c r="C1457" s="87">
        <v>52127</v>
      </c>
    </row>
    <row r="1458" spans="1:3">
      <c r="A1458" s="102">
        <v>41581</v>
      </c>
      <c r="B1458" s="87">
        <v>24</v>
      </c>
      <c r="C1458" s="87">
        <v>52127</v>
      </c>
    </row>
    <row r="1459" spans="1:3">
      <c r="A1459" s="102">
        <v>41582</v>
      </c>
      <c r="B1459" s="87">
        <v>120</v>
      </c>
      <c r="C1459" s="87">
        <v>55539</v>
      </c>
    </row>
    <row r="1460" spans="1:3">
      <c r="A1460" s="102">
        <v>41583</v>
      </c>
      <c r="B1460" s="87">
        <v>315</v>
      </c>
      <c r="C1460" s="87">
        <v>57848</v>
      </c>
    </row>
    <row r="1461" spans="1:3">
      <c r="A1461" s="102">
        <v>41584</v>
      </c>
      <c r="B1461" s="87">
        <v>195</v>
      </c>
      <c r="C1461" s="87">
        <v>49538</v>
      </c>
    </row>
    <row r="1462" spans="1:3">
      <c r="A1462" s="102">
        <v>41585</v>
      </c>
      <c r="B1462" s="87">
        <v>255</v>
      </c>
      <c r="C1462" s="87">
        <v>54659</v>
      </c>
    </row>
    <row r="1463" spans="1:3">
      <c r="A1463" s="102">
        <v>41586</v>
      </c>
      <c r="B1463" s="87">
        <v>2</v>
      </c>
      <c r="C1463" s="87">
        <v>62442</v>
      </c>
    </row>
    <row r="1464" spans="1:3">
      <c r="A1464" s="102">
        <v>41587</v>
      </c>
      <c r="B1464" s="87">
        <v>2</v>
      </c>
      <c r="C1464" s="87">
        <v>62442</v>
      </c>
    </row>
    <row r="1465" spans="1:3">
      <c r="A1465" s="102">
        <v>41588</v>
      </c>
      <c r="B1465" s="87">
        <v>2</v>
      </c>
      <c r="C1465" s="87">
        <v>62442</v>
      </c>
    </row>
    <row r="1466" spans="1:3">
      <c r="A1466" s="102">
        <v>41589</v>
      </c>
      <c r="B1466" s="87">
        <v>2</v>
      </c>
      <c r="C1466" s="87">
        <v>60176</v>
      </c>
    </row>
    <row r="1467" spans="1:3">
      <c r="A1467" s="102">
        <v>41590</v>
      </c>
      <c r="B1467" s="87">
        <v>12</v>
      </c>
      <c r="C1467" s="87">
        <v>57525</v>
      </c>
    </row>
    <row r="1468" spans="1:3">
      <c r="A1468" s="102">
        <v>41591</v>
      </c>
      <c r="B1468" s="87">
        <v>2</v>
      </c>
      <c r="C1468" s="87">
        <v>45432</v>
      </c>
    </row>
    <row r="1469" spans="1:3">
      <c r="A1469" s="102">
        <v>41592</v>
      </c>
      <c r="B1469" s="87">
        <v>4</v>
      </c>
      <c r="C1469" s="87">
        <v>46440</v>
      </c>
    </row>
    <row r="1470" spans="1:3">
      <c r="A1470" s="102">
        <v>41593</v>
      </c>
      <c r="B1470" s="87">
        <v>0</v>
      </c>
      <c r="C1470" s="87">
        <v>43861</v>
      </c>
    </row>
    <row r="1471" spans="1:3">
      <c r="A1471" s="102">
        <v>41594</v>
      </c>
      <c r="B1471" s="87">
        <v>0</v>
      </c>
      <c r="C1471" s="87">
        <v>43861</v>
      </c>
    </row>
    <row r="1472" spans="1:3">
      <c r="A1472" s="102">
        <v>41595</v>
      </c>
      <c r="B1472" s="87">
        <v>0</v>
      </c>
      <c r="C1472" s="87">
        <v>43861</v>
      </c>
    </row>
    <row r="1473" spans="1:3">
      <c r="A1473" s="102">
        <v>41596</v>
      </c>
      <c r="B1473" s="87">
        <v>2</v>
      </c>
      <c r="C1473" s="87">
        <v>48698</v>
      </c>
    </row>
    <row r="1474" spans="1:3">
      <c r="A1474" s="102">
        <v>41597</v>
      </c>
      <c r="B1474" s="87">
        <v>0</v>
      </c>
      <c r="C1474" s="87">
        <v>46041</v>
      </c>
    </row>
    <row r="1475" spans="1:3">
      <c r="A1475" s="102">
        <v>41598</v>
      </c>
      <c r="B1475" s="87">
        <v>230</v>
      </c>
      <c r="C1475" s="87">
        <v>52652</v>
      </c>
    </row>
    <row r="1476" spans="1:3">
      <c r="A1476" s="102">
        <v>41599</v>
      </c>
      <c r="B1476" s="87">
        <v>223</v>
      </c>
      <c r="C1476" s="87">
        <v>48158</v>
      </c>
    </row>
    <row r="1477" spans="1:3">
      <c r="A1477" s="102">
        <v>41600</v>
      </c>
      <c r="B1477" s="87">
        <v>181</v>
      </c>
      <c r="C1477" s="87">
        <v>44039</v>
      </c>
    </row>
    <row r="1478" spans="1:3">
      <c r="A1478" s="102">
        <v>41601</v>
      </c>
      <c r="B1478" s="87">
        <v>181</v>
      </c>
      <c r="C1478" s="87">
        <v>44039</v>
      </c>
    </row>
    <row r="1479" spans="1:3">
      <c r="A1479" s="102">
        <v>41602</v>
      </c>
      <c r="B1479" s="87">
        <v>181</v>
      </c>
      <c r="C1479" s="87">
        <v>44039</v>
      </c>
    </row>
    <row r="1480" spans="1:3">
      <c r="A1480" s="102">
        <v>41603</v>
      </c>
      <c r="B1480" s="87">
        <v>185</v>
      </c>
      <c r="C1480" s="87">
        <v>38027</v>
      </c>
    </row>
    <row r="1481" spans="1:3">
      <c r="A1481" s="102">
        <v>41604</v>
      </c>
      <c r="B1481" s="87">
        <v>158</v>
      </c>
      <c r="C1481" s="87">
        <v>44022</v>
      </c>
    </row>
    <row r="1482" spans="1:3">
      <c r="A1482" s="102">
        <v>41605</v>
      </c>
      <c r="B1482" s="87">
        <v>53</v>
      </c>
      <c r="C1482" s="87">
        <v>40511</v>
      </c>
    </row>
    <row r="1483" spans="1:3">
      <c r="A1483" s="102">
        <v>41606</v>
      </c>
      <c r="B1483" s="87">
        <v>11</v>
      </c>
      <c r="C1483" s="87">
        <v>40844</v>
      </c>
    </row>
    <row r="1484" spans="1:3">
      <c r="A1484" s="102">
        <v>41607</v>
      </c>
      <c r="B1484" s="87">
        <v>74</v>
      </c>
      <c r="C1484" s="87">
        <v>56147</v>
      </c>
    </row>
    <row r="1485" spans="1:3">
      <c r="A1485" s="102">
        <v>41608</v>
      </c>
      <c r="B1485" s="87">
        <v>74</v>
      </c>
      <c r="C1485" s="87">
        <v>56147</v>
      </c>
    </row>
    <row r="1486" spans="1:3">
      <c r="A1486" s="102">
        <v>41609</v>
      </c>
      <c r="B1486" s="87">
        <v>74</v>
      </c>
      <c r="C1486" s="87">
        <v>56147</v>
      </c>
    </row>
    <row r="1487" spans="1:3">
      <c r="A1487" s="102">
        <v>41610</v>
      </c>
      <c r="B1487" s="87">
        <v>105</v>
      </c>
      <c r="C1487" s="87">
        <v>55675</v>
      </c>
    </row>
    <row r="1488" spans="1:3">
      <c r="A1488" s="102">
        <v>41611</v>
      </c>
      <c r="B1488" s="87">
        <v>243</v>
      </c>
      <c r="C1488" s="87">
        <v>56076</v>
      </c>
    </row>
    <row r="1489" spans="1:3">
      <c r="A1489" s="102">
        <v>41612</v>
      </c>
      <c r="B1489" s="87">
        <v>483</v>
      </c>
      <c r="C1489" s="87">
        <v>48134</v>
      </c>
    </row>
    <row r="1490" spans="1:3">
      <c r="A1490" s="102">
        <v>41613</v>
      </c>
      <c r="B1490" s="87">
        <v>186</v>
      </c>
      <c r="C1490" s="87">
        <v>41292</v>
      </c>
    </row>
    <row r="1491" spans="1:3">
      <c r="A1491" s="102">
        <v>41614</v>
      </c>
      <c r="B1491" s="87">
        <v>158</v>
      </c>
      <c r="C1491" s="87">
        <v>54069</v>
      </c>
    </row>
    <row r="1492" spans="1:3">
      <c r="A1492" s="102">
        <v>41615</v>
      </c>
      <c r="B1492" s="87">
        <v>158</v>
      </c>
      <c r="C1492" s="87">
        <v>54069</v>
      </c>
    </row>
    <row r="1493" spans="1:3">
      <c r="A1493" s="102">
        <v>41616</v>
      </c>
      <c r="B1493" s="87">
        <v>158</v>
      </c>
      <c r="C1493" s="87">
        <v>54069</v>
      </c>
    </row>
    <row r="1494" spans="1:3">
      <c r="A1494" s="102">
        <v>41617</v>
      </c>
      <c r="B1494" s="87">
        <v>170</v>
      </c>
      <c r="C1494" s="87">
        <v>52207</v>
      </c>
    </row>
    <row r="1495" spans="1:3">
      <c r="A1495" s="102">
        <v>41618</v>
      </c>
      <c r="B1495" s="87">
        <v>256</v>
      </c>
      <c r="C1495" s="87">
        <v>54375</v>
      </c>
    </row>
    <row r="1496" spans="1:3">
      <c r="A1496" s="102">
        <v>41619</v>
      </c>
      <c r="B1496" s="87">
        <v>409</v>
      </c>
      <c r="C1496" s="87">
        <v>36897</v>
      </c>
    </row>
    <row r="1497" spans="1:3">
      <c r="A1497" s="102">
        <v>41620</v>
      </c>
      <c r="B1497" s="87">
        <v>206</v>
      </c>
      <c r="C1497" s="87">
        <v>36971</v>
      </c>
    </row>
    <row r="1498" spans="1:3">
      <c r="A1498" s="102">
        <v>41621</v>
      </c>
      <c r="B1498" s="87">
        <v>128</v>
      </c>
      <c r="C1498" s="87">
        <v>38341</v>
      </c>
    </row>
    <row r="1499" spans="1:3">
      <c r="A1499" s="102">
        <v>41622</v>
      </c>
      <c r="B1499" s="87">
        <v>128</v>
      </c>
      <c r="C1499" s="87">
        <v>38341</v>
      </c>
    </row>
    <row r="1500" spans="1:3">
      <c r="A1500" s="102">
        <v>41623</v>
      </c>
      <c r="B1500" s="87">
        <v>128</v>
      </c>
      <c r="C1500" s="87">
        <v>38341</v>
      </c>
    </row>
    <row r="1501" spans="1:3">
      <c r="A1501" s="102">
        <v>41624</v>
      </c>
      <c r="B1501" s="87">
        <v>142</v>
      </c>
      <c r="C1501" s="87">
        <v>45841</v>
      </c>
    </row>
    <row r="1502" spans="1:3">
      <c r="A1502" s="102">
        <v>41625</v>
      </c>
      <c r="B1502" s="87">
        <v>193</v>
      </c>
      <c r="C1502" s="87">
        <v>43276</v>
      </c>
    </row>
    <row r="1503" spans="1:3">
      <c r="A1503" s="102">
        <v>41626</v>
      </c>
      <c r="B1503" s="87">
        <v>125</v>
      </c>
      <c r="C1503" s="87">
        <v>43991</v>
      </c>
    </row>
    <row r="1504" spans="1:3">
      <c r="A1504" s="102">
        <v>41627</v>
      </c>
      <c r="B1504" s="87">
        <v>90</v>
      </c>
      <c r="C1504" s="87">
        <v>43761</v>
      </c>
    </row>
    <row r="1505" spans="1:3">
      <c r="A1505" s="102">
        <v>41628</v>
      </c>
      <c r="B1505" s="87">
        <v>341</v>
      </c>
      <c r="C1505" s="87">
        <v>53345</v>
      </c>
    </row>
    <row r="1506" spans="1:3">
      <c r="A1506" s="102">
        <v>41629</v>
      </c>
      <c r="B1506" s="87">
        <v>341</v>
      </c>
      <c r="C1506" s="87">
        <v>53345</v>
      </c>
    </row>
    <row r="1507" spans="1:3">
      <c r="A1507" s="102">
        <v>41630</v>
      </c>
      <c r="B1507" s="87">
        <v>341</v>
      </c>
      <c r="C1507" s="87">
        <v>53345</v>
      </c>
    </row>
    <row r="1508" spans="1:3">
      <c r="A1508" s="102">
        <v>41631</v>
      </c>
      <c r="B1508" s="87">
        <v>750</v>
      </c>
      <c r="C1508" s="87">
        <v>50604</v>
      </c>
    </row>
    <row r="1509" spans="1:3">
      <c r="A1509" s="102">
        <v>41632</v>
      </c>
      <c r="B1509" s="87">
        <v>445</v>
      </c>
      <c r="C1509" s="87">
        <v>54445</v>
      </c>
    </row>
    <row r="1510" spans="1:3">
      <c r="A1510" s="102">
        <v>41633</v>
      </c>
      <c r="B1510" s="87">
        <v>445</v>
      </c>
      <c r="C1510" s="87">
        <v>54445</v>
      </c>
    </row>
    <row r="1511" spans="1:3">
      <c r="A1511" s="102">
        <v>41634</v>
      </c>
      <c r="B1511" s="87">
        <v>445</v>
      </c>
      <c r="C1511" s="87">
        <v>54445</v>
      </c>
    </row>
    <row r="1512" spans="1:3">
      <c r="A1512" s="102">
        <v>41635</v>
      </c>
      <c r="B1512" s="87">
        <v>274</v>
      </c>
      <c r="C1512" s="87">
        <v>59628</v>
      </c>
    </row>
    <row r="1513" spans="1:3">
      <c r="A1513" s="102">
        <v>41636</v>
      </c>
      <c r="B1513" s="87">
        <v>274</v>
      </c>
      <c r="C1513" s="87">
        <v>59628</v>
      </c>
    </row>
    <row r="1514" spans="1:3">
      <c r="A1514" s="102">
        <v>41637</v>
      </c>
      <c r="B1514" s="87">
        <v>274</v>
      </c>
      <c r="C1514" s="87">
        <v>59628</v>
      </c>
    </row>
    <row r="1515" spans="1:3">
      <c r="A1515" s="102">
        <v>41638</v>
      </c>
      <c r="B1515" s="87">
        <v>32</v>
      </c>
      <c r="C1515" s="87">
        <v>96895</v>
      </c>
    </row>
    <row r="1516" spans="1:3">
      <c r="A1516" s="102">
        <v>41639</v>
      </c>
      <c r="B1516" s="87">
        <v>301</v>
      </c>
      <c r="C1516" s="87">
        <v>85658</v>
      </c>
    </row>
    <row r="1517" spans="1:3">
      <c r="A1517" s="102">
        <v>41640</v>
      </c>
      <c r="B1517" s="87">
        <v>301</v>
      </c>
      <c r="C1517" s="87">
        <v>85658</v>
      </c>
    </row>
    <row r="1518" spans="1:3">
      <c r="A1518" s="102">
        <v>41641</v>
      </c>
      <c r="B1518" s="87">
        <v>325</v>
      </c>
      <c r="C1518" s="87">
        <v>79526</v>
      </c>
    </row>
    <row r="1519" spans="1:3">
      <c r="A1519" s="102">
        <v>41642</v>
      </c>
      <c r="B1519" s="87">
        <v>270</v>
      </c>
      <c r="C1519" s="87">
        <v>88213</v>
      </c>
    </row>
    <row r="1520" spans="1:3">
      <c r="A1520" s="102">
        <v>41643</v>
      </c>
      <c r="B1520" s="87">
        <v>270</v>
      </c>
      <c r="C1520" s="87">
        <v>88213</v>
      </c>
    </row>
    <row r="1521" spans="1:3">
      <c r="A1521" s="102">
        <v>41644</v>
      </c>
      <c r="B1521" s="87">
        <v>270</v>
      </c>
      <c r="C1521" s="87">
        <v>88213</v>
      </c>
    </row>
    <row r="1522" spans="1:3">
      <c r="A1522" s="102">
        <v>41645</v>
      </c>
      <c r="B1522" s="87">
        <v>243</v>
      </c>
      <c r="C1522" s="87">
        <v>91375</v>
      </c>
    </row>
    <row r="1523" spans="1:3">
      <c r="A1523" s="102">
        <v>41646</v>
      </c>
      <c r="B1523" s="87">
        <v>293</v>
      </c>
      <c r="C1523" s="87">
        <v>95074</v>
      </c>
    </row>
    <row r="1524" spans="1:3">
      <c r="A1524" s="102">
        <v>41647</v>
      </c>
      <c r="B1524" s="87">
        <v>656</v>
      </c>
      <c r="C1524" s="87">
        <v>48561</v>
      </c>
    </row>
    <row r="1525" spans="1:3">
      <c r="A1525" s="102">
        <v>41648</v>
      </c>
      <c r="B1525" s="87">
        <v>180</v>
      </c>
      <c r="C1525" s="87">
        <v>50213</v>
      </c>
    </row>
    <row r="1526" spans="1:3">
      <c r="A1526" s="102">
        <v>41649</v>
      </c>
      <c r="B1526" s="87">
        <v>31</v>
      </c>
      <c r="C1526" s="87">
        <v>59753</v>
      </c>
    </row>
    <row r="1527" spans="1:3">
      <c r="A1527" s="102">
        <v>41652</v>
      </c>
      <c r="B1527" s="87">
        <v>170</v>
      </c>
      <c r="C1527" s="87">
        <v>58292</v>
      </c>
    </row>
    <row r="1528" spans="1:3">
      <c r="A1528" s="102">
        <v>41653</v>
      </c>
      <c r="B1528" s="87">
        <v>162</v>
      </c>
      <c r="C1528" s="87">
        <v>58630</v>
      </c>
    </row>
    <row r="1529" spans="1:3">
      <c r="A1529" s="102">
        <v>41654</v>
      </c>
      <c r="B1529" s="87">
        <v>243</v>
      </c>
      <c r="C1529" s="87">
        <v>31822</v>
      </c>
    </row>
    <row r="1530" spans="1:3">
      <c r="A1530" s="102">
        <v>41655</v>
      </c>
      <c r="B1530" s="87">
        <v>371</v>
      </c>
      <c r="C1530" s="87">
        <v>32835</v>
      </c>
    </row>
    <row r="1531" spans="1:3">
      <c r="A1531" s="102">
        <v>41656</v>
      </c>
      <c r="B1531" s="87">
        <v>114</v>
      </c>
      <c r="C1531" s="87">
        <v>36489</v>
      </c>
    </row>
    <row r="1532" spans="1:3">
      <c r="A1532" s="102">
        <v>41659</v>
      </c>
      <c r="B1532" s="87">
        <v>452</v>
      </c>
      <c r="C1532" s="87">
        <v>33883</v>
      </c>
    </row>
    <row r="1533" spans="1:3">
      <c r="A1533" s="102">
        <v>41660</v>
      </c>
      <c r="B1533" s="87">
        <v>162</v>
      </c>
      <c r="C1533" s="87">
        <v>27658</v>
      </c>
    </row>
    <row r="1534" spans="1:3">
      <c r="A1534" s="102">
        <v>41661</v>
      </c>
      <c r="B1534" s="106">
        <v>141</v>
      </c>
      <c r="C1534" s="106">
        <v>34654</v>
      </c>
    </row>
    <row r="1535" spans="1:3">
      <c r="A1535" s="102">
        <v>41662</v>
      </c>
      <c r="B1535" s="106">
        <v>133</v>
      </c>
      <c r="C1535" s="106">
        <v>37522</v>
      </c>
    </row>
    <row r="1536" spans="1:3">
      <c r="A1536" s="102">
        <v>41663</v>
      </c>
      <c r="B1536" s="106">
        <v>179</v>
      </c>
      <c r="C1536" s="106">
        <v>44010</v>
      </c>
    </row>
    <row r="1537" spans="1:3">
      <c r="A1537" s="102">
        <v>41664</v>
      </c>
      <c r="B1537" s="106">
        <v>179</v>
      </c>
      <c r="C1537" s="106">
        <v>44010</v>
      </c>
    </row>
    <row r="1538" spans="1:3">
      <c r="A1538" s="102">
        <v>41665</v>
      </c>
      <c r="B1538" s="106">
        <v>179</v>
      </c>
      <c r="C1538" s="106">
        <v>44010</v>
      </c>
    </row>
    <row r="1539" spans="1:3">
      <c r="A1539" s="102">
        <v>41666</v>
      </c>
      <c r="B1539" s="106">
        <v>219</v>
      </c>
      <c r="C1539" s="106">
        <v>43766</v>
      </c>
    </row>
    <row r="1540" spans="1:3">
      <c r="A1540" s="102">
        <v>41667</v>
      </c>
      <c r="B1540" s="106">
        <v>210</v>
      </c>
      <c r="C1540" s="106">
        <v>34690</v>
      </c>
    </row>
    <row r="1541" spans="1:3">
      <c r="A1541" s="102">
        <v>41668</v>
      </c>
      <c r="B1541" s="106">
        <v>202</v>
      </c>
      <c r="C1541" s="106">
        <v>38231</v>
      </c>
    </row>
    <row r="1542" spans="1:3">
      <c r="A1542" s="102">
        <v>41669</v>
      </c>
      <c r="B1542" s="106">
        <v>479</v>
      </c>
      <c r="C1542" s="106">
        <v>36933</v>
      </c>
    </row>
    <row r="1543" spans="1:3">
      <c r="A1543" s="102">
        <v>41670</v>
      </c>
      <c r="B1543" s="106">
        <v>255</v>
      </c>
      <c r="C1543" s="106">
        <v>56064</v>
      </c>
    </row>
    <row r="1544" spans="1:3">
      <c r="A1544" s="102">
        <v>41671</v>
      </c>
      <c r="B1544" s="106">
        <v>255</v>
      </c>
      <c r="C1544" s="106">
        <v>56064</v>
      </c>
    </row>
    <row r="1545" spans="1:3">
      <c r="A1545" s="102">
        <v>41672</v>
      </c>
      <c r="B1545" s="106">
        <v>255</v>
      </c>
      <c r="C1545" s="106">
        <v>56064</v>
      </c>
    </row>
    <row r="1546" spans="1:3">
      <c r="A1546" s="102">
        <v>41673</v>
      </c>
      <c r="B1546" s="106">
        <v>482</v>
      </c>
      <c r="C1546" s="106">
        <v>55866</v>
      </c>
    </row>
    <row r="1547" spans="1:3">
      <c r="A1547" s="102">
        <v>41674</v>
      </c>
      <c r="B1547" s="106">
        <v>3</v>
      </c>
      <c r="C1547" s="106">
        <v>54162</v>
      </c>
    </row>
    <row r="1548" spans="1:3">
      <c r="A1548" s="102">
        <v>41675</v>
      </c>
      <c r="B1548" s="106">
        <v>360</v>
      </c>
      <c r="C1548" s="106">
        <v>35016</v>
      </c>
    </row>
    <row r="1549" spans="1:3">
      <c r="A1549" s="102">
        <v>41676</v>
      </c>
      <c r="B1549" s="106">
        <v>380</v>
      </c>
      <c r="C1549" s="106">
        <v>42480</v>
      </c>
    </row>
    <row r="1550" spans="1:3">
      <c r="A1550" s="102">
        <v>41677</v>
      </c>
      <c r="B1550" s="106">
        <v>548</v>
      </c>
      <c r="C1550" s="106">
        <v>47221</v>
      </c>
    </row>
    <row r="1551" spans="1:3">
      <c r="A1551" s="102">
        <v>41678</v>
      </c>
      <c r="B1551" s="106">
        <v>548</v>
      </c>
      <c r="C1551" s="106">
        <v>47221</v>
      </c>
    </row>
    <row r="1552" spans="1:3">
      <c r="A1552" s="102">
        <v>41679</v>
      </c>
      <c r="B1552" s="106">
        <v>548</v>
      </c>
      <c r="C1552" s="106">
        <v>47221</v>
      </c>
    </row>
    <row r="1553" spans="1:3">
      <c r="A1553" s="102">
        <v>41680</v>
      </c>
      <c r="B1553" s="106">
        <v>350</v>
      </c>
      <c r="C1553" s="106">
        <v>44493</v>
      </c>
    </row>
    <row r="1554" spans="1:3">
      <c r="A1554" s="102">
        <v>41681</v>
      </c>
      <c r="B1554" s="106">
        <v>100</v>
      </c>
      <c r="C1554" s="106">
        <v>42962</v>
      </c>
    </row>
    <row r="1555" spans="1:3">
      <c r="A1555" s="102">
        <v>41682</v>
      </c>
      <c r="B1555" s="106">
        <v>422</v>
      </c>
      <c r="C1555" s="106">
        <v>23091</v>
      </c>
    </row>
    <row r="1556" spans="1:3">
      <c r="A1556" s="102">
        <v>41683</v>
      </c>
      <c r="B1556" s="106">
        <v>1046</v>
      </c>
      <c r="C1556" s="106">
        <v>26077</v>
      </c>
    </row>
    <row r="1557" spans="1:3">
      <c r="A1557" s="102">
        <v>41684</v>
      </c>
      <c r="B1557" s="106">
        <v>135</v>
      </c>
      <c r="C1557" s="106">
        <v>29981</v>
      </c>
    </row>
    <row r="1558" spans="1:3">
      <c r="A1558" s="102">
        <v>41685</v>
      </c>
      <c r="B1558" s="106">
        <v>135</v>
      </c>
      <c r="C1558" s="106">
        <v>29981</v>
      </c>
    </row>
    <row r="1559" spans="1:3">
      <c r="A1559" s="102">
        <v>41686</v>
      </c>
      <c r="B1559" s="106">
        <v>135</v>
      </c>
      <c r="C1559" s="106">
        <v>29981</v>
      </c>
    </row>
    <row r="1560" spans="1:3">
      <c r="A1560" s="102">
        <v>41687</v>
      </c>
      <c r="B1560" s="106">
        <v>130</v>
      </c>
      <c r="C1560" s="106">
        <v>33565</v>
      </c>
    </row>
    <row r="1561" spans="1:3">
      <c r="A1561" s="102">
        <v>41688</v>
      </c>
      <c r="B1561" s="106">
        <v>301</v>
      </c>
      <c r="C1561" s="106">
        <v>28327</v>
      </c>
    </row>
    <row r="1562" spans="1:3">
      <c r="A1562" s="102">
        <v>41689</v>
      </c>
      <c r="B1562" s="106">
        <v>235</v>
      </c>
      <c r="C1562" s="106">
        <v>32431</v>
      </c>
    </row>
    <row r="1563" spans="1:3">
      <c r="A1563" s="102">
        <v>41690</v>
      </c>
      <c r="B1563" s="106">
        <v>205</v>
      </c>
      <c r="C1563" s="106">
        <v>26299</v>
      </c>
    </row>
    <row r="1564" spans="1:3">
      <c r="A1564" s="102">
        <v>41691</v>
      </c>
      <c r="B1564" s="106">
        <v>187</v>
      </c>
      <c r="C1564" s="106">
        <v>32014</v>
      </c>
    </row>
    <row r="1565" spans="1:3">
      <c r="A1565" s="102">
        <v>41692</v>
      </c>
      <c r="B1565" s="106">
        <v>187</v>
      </c>
      <c r="C1565" s="106">
        <v>32014</v>
      </c>
    </row>
    <row r="1566" spans="1:3">
      <c r="A1566" s="102">
        <v>41693</v>
      </c>
      <c r="B1566" s="106">
        <v>187</v>
      </c>
      <c r="C1566" s="106">
        <v>32014</v>
      </c>
    </row>
    <row r="1567" spans="1:3">
      <c r="A1567" s="102">
        <v>41694</v>
      </c>
      <c r="B1567" s="106">
        <v>195</v>
      </c>
      <c r="C1567" s="106">
        <v>28125</v>
      </c>
    </row>
    <row r="1568" spans="1:3">
      <c r="A1568" s="102">
        <v>41695</v>
      </c>
      <c r="B1568" s="106">
        <v>212</v>
      </c>
      <c r="C1568" s="106">
        <v>28658</v>
      </c>
    </row>
    <row r="1569" spans="1:3">
      <c r="A1569" s="102">
        <v>41696</v>
      </c>
      <c r="B1569" s="106">
        <v>431</v>
      </c>
      <c r="C1569" s="106">
        <v>27371</v>
      </c>
    </row>
    <row r="1570" spans="1:3">
      <c r="A1570" s="102">
        <v>41697</v>
      </c>
      <c r="B1570" s="106">
        <v>165</v>
      </c>
      <c r="C1570" s="106">
        <v>28944</v>
      </c>
    </row>
    <row r="1571" spans="1:3">
      <c r="A1571" s="102">
        <v>41698</v>
      </c>
      <c r="B1571" s="106">
        <v>776</v>
      </c>
      <c r="C1571" s="106">
        <v>29371</v>
      </c>
    </row>
    <row r="1572" spans="1:3">
      <c r="A1572" s="102">
        <v>41701</v>
      </c>
      <c r="B1572" s="106">
        <v>673</v>
      </c>
      <c r="C1572" s="106">
        <v>29748</v>
      </c>
    </row>
    <row r="1573" spans="1:3">
      <c r="A1573" s="102">
        <v>41702</v>
      </c>
      <c r="B1573" s="106">
        <v>837</v>
      </c>
      <c r="C1573" s="106">
        <v>27932</v>
      </c>
    </row>
    <row r="1574" spans="1:3">
      <c r="A1574" s="102">
        <v>41703</v>
      </c>
      <c r="B1574" s="106">
        <v>149</v>
      </c>
      <c r="C1574" s="106">
        <v>27315</v>
      </c>
    </row>
    <row r="1575" spans="1:3">
      <c r="A1575" s="102">
        <v>41704</v>
      </c>
      <c r="B1575" s="106">
        <v>180</v>
      </c>
      <c r="C1575" s="106">
        <v>25669</v>
      </c>
    </row>
    <row r="1576" spans="1:3">
      <c r="A1576" s="102">
        <v>41705</v>
      </c>
      <c r="B1576" s="106">
        <v>284</v>
      </c>
      <c r="C1576" s="106">
        <v>30939</v>
      </c>
    </row>
    <row r="1577" spans="1:3">
      <c r="A1577" s="102">
        <v>41708</v>
      </c>
      <c r="B1577" s="106">
        <v>287</v>
      </c>
      <c r="C1577" s="106">
        <v>28758</v>
      </c>
    </row>
    <row r="1578" spans="1:3">
      <c r="A1578" s="102">
        <v>41709</v>
      </c>
      <c r="B1578" s="106">
        <v>119</v>
      </c>
      <c r="C1578" s="106">
        <v>38101</v>
      </c>
    </row>
    <row r="1579" spans="1:3">
      <c r="A1579" s="102">
        <v>41710</v>
      </c>
      <c r="B1579" s="106">
        <v>0</v>
      </c>
      <c r="C1579" s="106">
        <v>24037</v>
      </c>
    </row>
    <row r="1580" spans="1:3">
      <c r="A1580" s="102">
        <v>41711</v>
      </c>
      <c r="B1580" s="106">
        <v>0</v>
      </c>
      <c r="C1580" s="106">
        <v>31345</v>
      </c>
    </row>
    <row r="1581" spans="1:3">
      <c r="A1581" s="102">
        <v>41712</v>
      </c>
      <c r="B1581" s="106">
        <v>2</v>
      </c>
      <c r="C1581" s="106">
        <v>23495</v>
      </c>
    </row>
    <row r="1582" spans="1:3">
      <c r="A1582" s="102">
        <v>41715</v>
      </c>
      <c r="B1582" s="106">
        <v>20</v>
      </c>
      <c r="C1582" s="106">
        <v>36817</v>
      </c>
    </row>
    <row r="1583" spans="1:3">
      <c r="A1583" s="102">
        <v>41716</v>
      </c>
      <c r="B1583" s="106">
        <v>80</v>
      </c>
      <c r="C1583" s="106">
        <v>27468</v>
      </c>
    </row>
    <row r="1584" spans="1:3">
      <c r="A1584" s="102">
        <v>41717</v>
      </c>
      <c r="B1584" s="106">
        <v>245</v>
      </c>
      <c r="C1584" s="106">
        <v>30683</v>
      </c>
    </row>
    <row r="1585" spans="1:3">
      <c r="A1585" s="102">
        <v>41718</v>
      </c>
      <c r="B1585" s="106">
        <v>1020</v>
      </c>
      <c r="C1585" s="106">
        <v>26947</v>
      </c>
    </row>
    <row r="1586" spans="1:3">
      <c r="A1586" s="102">
        <v>41719</v>
      </c>
      <c r="B1586" s="106">
        <v>917</v>
      </c>
      <c r="C1586" s="106">
        <v>34536</v>
      </c>
    </row>
    <row r="1587" spans="1:3">
      <c r="A1587" s="102">
        <v>41722</v>
      </c>
      <c r="B1587" s="106">
        <v>1048</v>
      </c>
      <c r="C1587" s="106">
        <v>31676</v>
      </c>
    </row>
    <row r="1588" spans="1:3">
      <c r="A1588" s="102">
        <v>41723</v>
      </c>
      <c r="B1588" s="106">
        <v>1028</v>
      </c>
      <c r="C1588" s="106">
        <v>32543</v>
      </c>
    </row>
    <row r="1589" spans="1:3">
      <c r="A1589" s="102">
        <v>41724</v>
      </c>
      <c r="B1589" s="106">
        <v>119</v>
      </c>
      <c r="C1589" s="106">
        <v>28351</v>
      </c>
    </row>
    <row r="1590" spans="1:3">
      <c r="A1590" s="102">
        <v>41725</v>
      </c>
      <c r="B1590" s="106">
        <v>205</v>
      </c>
      <c r="C1590" s="106">
        <v>27644</v>
      </c>
    </row>
    <row r="1591" spans="1:3">
      <c r="A1591" s="102">
        <v>41726</v>
      </c>
      <c r="B1591" s="106">
        <v>1417</v>
      </c>
      <c r="C1591" s="106">
        <v>28256</v>
      </c>
    </row>
    <row r="1592" spans="1:3">
      <c r="A1592" s="102">
        <v>41729</v>
      </c>
      <c r="B1592" s="106">
        <v>5358</v>
      </c>
      <c r="C1592" s="106">
        <v>28745</v>
      </c>
    </row>
    <row r="1593" spans="1:3">
      <c r="A1593" s="102">
        <v>41730</v>
      </c>
      <c r="B1593" s="106">
        <v>1274</v>
      </c>
      <c r="C1593" s="106">
        <v>32950</v>
      </c>
    </row>
    <row r="1594" spans="1:3">
      <c r="A1594" s="102">
        <v>41731</v>
      </c>
      <c r="B1594" s="106">
        <v>265</v>
      </c>
      <c r="C1594" s="106">
        <v>27935</v>
      </c>
    </row>
    <row r="1595" spans="1:3">
      <c r="A1595" s="102">
        <v>41732</v>
      </c>
      <c r="B1595" s="106">
        <v>203</v>
      </c>
      <c r="C1595" s="106">
        <v>26923</v>
      </c>
    </row>
    <row r="1596" spans="1:3">
      <c r="A1596" s="102">
        <v>41733</v>
      </c>
      <c r="B1596" s="106">
        <v>222</v>
      </c>
      <c r="C1596" s="106">
        <v>25723</v>
      </c>
    </row>
    <row r="1597" spans="1:3">
      <c r="A1597" s="102">
        <v>41736</v>
      </c>
      <c r="B1597" s="106">
        <v>162</v>
      </c>
      <c r="C1597" s="106">
        <v>30849</v>
      </c>
    </row>
    <row r="1598" spans="1:3">
      <c r="A1598" s="102">
        <v>41737</v>
      </c>
      <c r="B1598" s="106">
        <v>104</v>
      </c>
      <c r="C1598" s="106">
        <v>38183</v>
      </c>
    </row>
    <row r="1599" spans="1:3">
      <c r="A1599" s="102">
        <v>41738</v>
      </c>
      <c r="B1599" s="106">
        <v>1784</v>
      </c>
      <c r="C1599" s="106">
        <v>16470</v>
      </c>
    </row>
    <row r="1600" spans="1:3">
      <c r="A1600" s="102">
        <v>41739</v>
      </c>
      <c r="B1600" s="106">
        <v>50</v>
      </c>
      <c r="C1600" s="106">
        <v>20309</v>
      </c>
    </row>
    <row r="1601" spans="1:3">
      <c r="A1601" s="102">
        <v>41740</v>
      </c>
      <c r="B1601" s="106">
        <v>0</v>
      </c>
      <c r="C1601" s="106">
        <v>21154</v>
      </c>
    </row>
    <row r="1602" spans="1:3">
      <c r="A1602" s="102">
        <v>41743</v>
      </c>
      <c r="B1602" s="106">
        <v>0</v>
      </c>
      <c r="C1602" s="106">
        <v>21454</v>
      </c>
    </row>
    <row r="1603" spans="1:3">
      <c r="A1603" s="102">
        <v>41744</v>
      </c>
      <c r="B1603" s="106">
        <v>0</v>
      </c>
      <c r="C1603" s="106">
        <v>24874</v>
      </c>
    </row>
    <row r="1604" spans="1:3">
      <c r="A1604" s="102">
        <v>41745</v>
      </c>
      <c r="B1604" s="106">
        <v>0</v>
      </c>
      <c r="C1604" s="106">
        <v>29130</v>
      </c>
    </row>
    <row r="1605" spans="1:3">
      <c r="A1605" s="102">
        <v>41746</v>
      </c>
      <c r="B1605" s="106">
        <v>301</v>
      </c>
      <c r="C1605" s="106">
        <v>30057</v>
      </c>
    </row>
    <row r="1606" spans="1:3">
      <c r="A1606" s="102">
        <v>41751</v>
      </c>
      <c r="B1606" s="106">
        <v>138</v>
      </c>
      <c r="C1606" s="106">
        <v>26625</v>
      </c>
    </row>
    <row r="1607" spans="1:3">
      <c r="A1607" s="102">
        <v>41752</v>
      </c>
      <c r="B1607" s="106">
        <v>100</v>
      </c>
      <c r="C1607" s="106">
        <v>23184</v>
      </c>
    </row>
    <row r="1608" spans="1:3">
      <c r="A1608" s="102">
        <v>41753</v>
      </c>
      <c r="B1608" s="106">
        <v>89</v>
      </c>
      <c r="C1608" s="106">
        <v>29490</v>
      </c>
    </row>
    <row r="1609" spans="1:3">
      <c r="A1609" s="102">
        <v>41754</v>
      </c>
      <c r="B1609" s="106">
        <v>18</v>
      </c>
      <c r="C1609" s="106">
        <v>23974</v>
      </c>
    </row>
    <row r="1610" spans="1:3">
      <c r="A1610" s="102">
        <v>41757</v>
      </c>
      <c r="B1610" s="106">
        <v>23</v>
      </c>
      <c r="C1610" s="106">
        <v>23942</v>
      </c>
    </row>
    <row r="1611" spans="1:3">
      <c r="A1611" s="102">
        <v>41758</v>
      </c>
      <c r="B1611" s="106">
        <v>123</v>
      </c>
      <c r="C1611" s="106">
        <v>30613</v>
      </c>
    </row>
    <row r="1612" spans="1:3">
      <c r="A1612" s="102">
        <v>41759</v>
      </c>
      <c r="B1612" s="106">
        <v>190</v>
      </c>
      <c r="C1612" s="106">
        <v>46896</v>
      </c>
    </row>
    <row r="1613" spans="1:3">
      <c r="A1613" s="102">
        <v>41761</v>
      </c>
      <c r="B1613" s="106">
        <v>751</v>
      </c>
      <c r="C1613" s="106">
        <v>39078</v>
      </c>
    </row>
    <row r="1614" spans="1:3">
      <c r="A1614" s="102">
        <v>41764</v>
      </c>
      <c r="B1614" s="106">
        <v>2</v>
      </c>
      <c r="C1614" s="106">
        <v>40211</v>
      </c>
    </row>
    <row r="1615" spans="1:3">
      <c r="A1615" s="102">
        <v>41765</v>
      </c>
      <c r="B1615" s="106">
        <v>651</v>
      </c>
      <c r="C1615" s="106">
        <v>34734</v>
      </c>
    </row>
    <row r="1616" spans="1:3">
      <c r="A1616" s="102">
        <v>41766</v>
      </c>
      <c r="B1616" s="106">
        <v>29</v>
      </c>
      <c r="C1616" s="106">
        <v>23856</v>
      </c>
    </row>
    <row r="1617" spans="1:3">
      <c r="A1617" s="102">
        <v>41767</v>
      </c>
      <c r="B1617" s="106">
        <v>80</v>
      </c>
      <c r="C1617" s="106">
        <v>24083</v>
      </c>
    </row>
    <row r="1618" spans="1:3">
      <c r="A1618" s="102">
        <v>41768</v>
      </c>
      <c r="B1618" s="106">
        <v>0</v>
      </c>
      <c r="C1618" s="106">
        <v>33844</v>
      </c>
    </row>
    <row r="1619" spans="1:3">
      <c r="A1619" s="102">
        <v>41769</v>
      </c>
      <c r="B1619" s="106">
        <v>0</v>
      </c>
      <c r="C1619" s="106">
        <v>33844</v>
      </c>
    </row>
    <row r="1620" spans="1:3">
      <c r="A1620" s="102">
        <v>41770</v>
      </c>
      <c r="B1620" s="106">
        <v>0</v>
      </c>
      <c r="C1620" s="106">
        <v>33844</v>
      </c>
    </row>
    <row r="1621" spans="1:3">
      <c r="A1621" s="102">
        <v>41771</v>
      </c>
      <c r="B1621" s="106">
        <v>0</v>
      </c>
      <c r="C1621" s="106">
        <v>33461</v>
      </c>
    </row>
    <row r="1622" spans="1:3">
      <c r="A1622" s="102">
        <v>41772</v>
      </c>
      <c r="B1622" s="106">
        <v>0</v>
      </c>
      <c r="C1622" s="106">
        <v>38612</v>
      </c>
    </row>
    <row r="1623" spans="1:3">
      <c r="A1623" s="102">
        <v>41773</v>
      </c>
      <c r="B1623" s="106">
        <v>0</v>
      </c>
      <c r="C1623" s="106">
        <v>17280</v>
      </c>
    </row>
    <row r="1624" spans="1:3">
      <c r="A1624" s="102">
        <v>41774</v>
      </c>
      <c r="B1624" s="106">
        <v>0</v>
      </c>
      <c r="C1624" s="106">
        <v>18888</v>
      </c>
    </row>
    <row r="1625" spans="1:3">
      <c r="A1625" s="102">
        <v>41775</v>
      </c>
      <c r="B1625" s="106">
        <v>11</v>
      </c>
      <c r="C1625" s="106">
        <v>17482</v>
      </c>
    </row>
    <row r="1626" spans="1:3">
      <c r="A1626" s="102">
        <v>41778</v>
      </c>
      <c r="B1626" s="106">
        <v>47</v>
      </c>
      <c r="C1626" s="106">
        <v>24813</v>
      </c>
    </row>
    <row r="1627" spans="1:3">
      <c r="A1627" s="102">
        <v>41779</v>
      </c>
      <c r="B1627" s="106">
        <v>4</v>
      </c>
      <c r="C1627" s="106">
        <v>21020</v>
      </c>
    </row>
    <row r="1628" spans="1:3">
      <c r="A1628" s="102">
        <v>41780</v>
      </c>
      <c r="B1628" s="106">
        <v>35</v>
      </c>
      <c r="C1628" s="106">
        <v>18669</v>
      </c>
    </row>
    <row r="1629" spans="1:3">
      <c r="A1629" s="102">
        <v>41781</v>
      </c>
      <c r="B1629" s="106">
        <v>183</v>
      </c>
      <c r="C1629" s="106">
        <v>19947</v>
      </c>
    </row>
    <row r="1630" spans="1:3">
      <c r="A1630" s="102">
        <v>41782</v>
      </c>
      <c r="B1630" s="106">
        <v>125</v>
      </c>
      <c r="C1630" s="106">
        <v>23774</v>
      </c>
    </row>
    <row r="1631" spans="1:3">
      <c r="A1631" s="102">
        <v>41785</v>
      </c>
      <c r="B1631" s="106">
        <v>6</v>
      </c>
      <c r="C1631" s="106">
        <v>22714</v>
      </c>
    </row>
    <row r="1632" spans="1:3">
      <c r="A1632" s="102">
        <v>41786</v>
      </c>
      <c r="B1632" s="106">
        <v>183</v>
      </c>
      <c r="C1632" s="106">
        <v>19220</v>
      </c>
    </row>
    <row r="1633" spans="1:3">
      <c r="A1633" s="102">
        <v>41787</v>
      </c>
      <c r="B1633" s="106">
        <v>120</v>
      </c>
      <c r="C1633" s="106">
        <v>31250</v>
      </c>
    </row>
    <row r="1634" spans="1:3">
      <c r="A1634" s="102">
        <v>41788</v>
      </c>
      <c r="B1634" s="106">
        <v>309</v>
      </c>
      <c r="C1634" s="106">
        <v>33232</v>
      </c>
    </row>
    <row r="1635" spans="1:3">
      <c r="A1635" s="102">
        <v>41789</v>
      </c>
      <c r="B1635" s="106">
        <v>64</v>
      </c>
      <c r="C1635" s="106">
        <v>39910</v>
      </c>
    </row>
    <row r="1636" spans="1:3">
      <c r="A1636" s="102">
        <v>41790</v>
      </c>
      <c r="B1636" s="106">
        <v>64</v>
      </c>
      <c r="C1636" s="106">
        <v>39910</v>
      </c>
    </row>
    <row r="1637" spans="1:3">
      <c r="A1637" s="102">
        <v>41791</v>
      </c>
      <c r="B1637" s="106">
        <v>64</v>
      </c>
      <c r="C1637" s="106">
        <v>39910</v>
      </c>
    </row>
    <row r="1638" spans="1:3">
      <c r="A1638" s="102">
        <v>41792</v>
      </c>
      <c r="B1638" s="106">
        <v>2</v>
      </c>
      <c r="C1638" s="106">
        <v>30728</v>
      </c>
    </row>
    <row r="1639" spans="1:3">
      <c r="A1639" s="102">
        <v>41793</v>
      </c>
      <c r="B1639" s="106">
        <v>6</v>
      </c>
      <c r="C1639" s="106">
        <v>37894</v>
      </c>
    </row>
    <row r="1640" spans="1:3">
      <c r="A1640" s="102">
        <v>41794</v>
      </c>
      <c r="B1640" s="106">
        <v>73</v>
      </c>
      <c r="C1640" s="106">
        <v>32673</v>
      </c>
    </row>
    <row r="1641" spans="1:3">
      <c r="A1641" s="102">
        <v>41795</v>
      </c>
      <c r="B1641" s="106">
        <v>13</v>
      </c>
      <c r="C1641" s="106">
        <v>35668</v>
      </c>
    </row>
    <row r="1642" spans="1:3">
      <c r="A1642" s="102">
        <v>41796</v>
      </c>
      <c r="B1642" s="106">
        <v>37</v>
      </c>
      <c r="C1642" s="106">
        <v>37312</v>
      </c>
    </row>
    <row r="1643" spans="1:3">
      <c r="A1643" s="102">
        <v>41799</v>
      </c>
      <c r="B1643" s="106">
        <v>442</v>
      </c>
      <c r="C1643" s="106">
        <v>33909</v>
      </c>
    </row>
    <row r="1644" spans="1:3">
      <c r="A1644" s="102">
        <v>41800</v>
      </c>
      <c r="B1644" s="106">
        <v>16</v>
      </c>
      <c r="C1644" s="106">
        <v>39015</v>
      </c>
    </row>
    <row r="1645" spans="1:3">
      <c r="A1645" s="102">
        <v>41801</v>
      </c>
      <c r="B1645" s="106">
        <v>8</v>
      </c>
      <c r="C1645" s="106">
        <v>13587</v>
      </c>
    </row>
    <row r="1646" spans="1:3">
      <c r="A1646" s="102">
        <v>41802</v>
      </c>
      <c r="B1646" s="106">
        <v>16</v>
      </c>
      <c r="C1646" s="106">
        <v>16936</v>
      </c>
    </row>
    <row r="1647" spans="1:3">
      <c r="A1647" s="102">
        <v>41803</v>
      </c>
      <c r="B1647" s="106">
        <v>11</v>
      </c>
      <c r="C1647" s="106">
        <v>17175</v>
      </c>
    </row>
    <row r="1648" spans="1:3">
      <c r="A1648" s="102">
        <v>41806</v>
      </c>
      <c r="B1648" s="106">
        <v>3</v>
      </c>
      <c r="C1648" s="106">
        <v>14819</v>
      </c>
    </row>
    <row r="1649" spans="1:3">
      <c r="A1649" s="102">
        <v>41807</v>
      </c>
      <c r="B1649" s="106">
        <v>62</v>
      </c>
      <c r="C1649" s="106">
        <v>15829</v>
      </c>
    </row>
    <row r="1650" spans="1:3">
      <c r="A1650" s="102">
        <v>41808</v>
      </c>
      <c r="B1650" s="106">
        <v>266</v>
      </c>
      <c r="C1650" s="106">
        <v>28454</v>
      </c>
    </row>
    <row r="1651" spans="1:3">
      <c r="A1651" s="102">
        <v>41809</v>
      </c>
      <c r="B1651" s="106">
        <v>2</v>
      </c>
      <c r="C1651" s="106">
        <v>22696</v>
      </c>
    </row>
    <row r="1652" spans="1:3">
      <c r="A1652" s="102">
        <v>41810</v>
      </c>
      <c r="B1652" s="106">
        <v>5</v>
      </c>
      <c r="C1652" s="106">
        <v>26544</v>
      </c>
    </row>
    <row r="1653" spans="1:3">
      <c r="A1653" s="102">
        <v>41813</v>
      </c>
      <c r="B1653" s="106">
        <v>11</v>
      </c>
      <c r="C1653" s="106">
        <v>25142</v>
      </c>
    </row>
    <row r="1654" spans="1:3">
      <c r="A1654" s="102">
        <v>41814</v>
      </c>
      <c r="B1654" s="106">
        <v>2</v>
      </c>
      <c r="C1654" s="106">
        <v>25774</v>
      </c>
    </row>
    <row r="1655" spans="1:3">
      <c r="A1655" s="102">
        <v>41815</v>
      </c>
      <c r="B1655" s="106">
        <v>63</v>
      </c>
      <c r="C1655" s="106">
        <v>26542</v>
      </c>
    </row>
    <row r="1656" spans="1:3">
      <c r="A1656" s="102">
        <v>41816</v>
      </c>
      <c r="B1656" s="106">
        <v>4</v>
      </c>
      <c r="C1656" s="106">
        <v>22643</v>
      </c>
    </row>
    <row r="1657" spans="1:3">
      <c r="A1657" s="102">
        <v>41817</v>
      </c>
      <c r="B1657" s="106">
        <v>56</v>
      </c>
      <c r="C1657" s="106">
        <v>25423</v>
      </c>
    </row>
    <row r="1658" spans="1:3">
      <c r="A1658" s="102">
        <v>41818</v>
      </c>
      <c r="B1658" s="106">
        <v>56</v>
      </c>
      <c r="C1658" s="106">
        <v>25423</v>
      </c>
    </row>
    <row r="1659" spans="1:3">
      <c r="A1659" s="102">
        <v>41819</v>
      </c>
      <c r="B1659" s="106">
        <v>56</v>
      </c>
      <c r="C1659" s="106">
        <v>25423</v>
      </c>
    </row>
    <row r="1660" spans="1:3">
      <c r="A1660" s="102">
        <v>41820</v>
      </c>
      <c r="B1660" s="106">
        <v>3090</v>
      </c>
      <c r="C1660" s="106">
        <v>28629</v>
      </c>
    </row>
    <row r="1661" spans="1:3">
      <c r="A1661" s="102">
        <v>41821</v>
      </c>
      <c r="B1661" s="106">
        <v>141</v>
      </c>
      <c r="C1661" s="106">
        <v>23402</v>
      </c>
    </row>
    <row r="1662" spans="1:3">
      <c r="A1662" s="102">
        <v>41822</v>
      </c>
      <c r="B1662" s="106">
        <v>3</v>
      </c>
      <c r="C1662" s="106">
        <v>22067</v>
      </c>
    </row>
    <row r="1663" spans="1:3">
      <c r="A1663" s="102">
        <v>41823</v>
      </c>
      <c r="B1663" s="106">
        <v>3</v>
      </c>
      <c r="C1663" s="106">
        <v>28784</v>
      </c>
    </row>
    <row r="1664" spans="1:3">
      <c r="A1664" s="102">
        <v>41824</v>
      </c>
      <c r="B1664" s="106">
        <v>0</v>
      </c>
      <c r="C1664" s="106">
        <v>27275</v>
      </c>
    </row>
    <row r="1665" spans="1:3">
      <c r="A1665" s="102">
        <v>41827</v>
      </c>
      <c r="B1665" s="106">
        <v>148</v>
      </c>
      <c r="C1665" s="106">
        <v>33521</v>
      </c>
    </row>
    <row r="1666" spans="1:3">
      <c r="A1666" s="102">
        <v>41828</v>
      </c>
      <c r="B1666" s="106">
        <v>9</v>
      </c>
      <c r="C1666" s="106">
        <v>29788</v>
      </c>
    </row>
    <row r="1667" spans="1:3">
      <c r="A1667" s="102">
        <v>41829</v>
      </c>
      <c r="B1667" s="106">
        <v>49</v>
      </c>
      <c r="C1667" s="106">
        <v>22029</v>
      </c>
    </row>
    <row r="1668" spans="1:3">
      <c r="A1668" s="102">
        <v>41830</v>
      </c>
      <c r="B1668" s="106">
        <v>0</v>
      </c>
      <c r="C1668" s="106">
        <v>19498</v>
      </c>
    </row>
    <row r="1669" spans="1:3">
      <c r="A1669" s="102">
        <v>41831</v>
      </c>
      <c r="B1669" s="106">
        <v>200</v>
      </c>
      <c r="C1669" s="106">
        <v>20184</v>
      </c>
    </row>
    <row r="1670" spans="1:3">
      <c r="A1670" s="102">
        <v>41834</v>
      </c>
      <c r="B1670" s="106">
        <v>600</v>
      </c>
      <c r="C1670" s="106">
        <v>23104</v>
      </c>
    </row>
    <row r="1671" spans="1:3">
      <c r="A1671" s="102">
        <v>41835</v>
      </c>
      <c r="B1671" s="106">
        <v>950</v>
      </c>
      <c r="C1671" s="106">
        <v>20604</v>
      </c>
    </row>
    <row r="1672" spans="1:3">
      <c r="A1672" s="102">
        <v>41836</v>
      </c>
      <c r="B1672" s="106">
        <v>709</v>
      </c>
      <c r="C1672" s="106">
        <v>21616</v>
      </c>
    </row>
    <row r="1673" spans="1:3">
      <c r="A1673" s="102">
        <v>41837</v>
      </c>
      <c r="B1673" s="106">
        <v>444</v>
      </c>
      <c r="C1673" s="106">
        <v>22794</v>
      </c>
    </row>
    <row r="1674" spans="1:3">
      <c r="A1674" s="102">
        <v>41838</v>
      </c>
      <c r="B1674" s="106">
        <v>701</v>
      </c>
      <c r="C1674" s="106">
        <v>22718</v>
      </c>
    </row>
    <row r="1675" spans="1:3">
      <c r="A1675" s="102">
        <v>41839</v>
      </c>
      <c r="B1675" s="106">
        <v>701</v>
      </c>
      <c r="C1675" s="106">
        <v>22718</v>
      </c>
    </row>
    <row r="1676" spans="1:3">
      <c r="A1676" s="102">
        <v>41840</v>
      </c>
      <c r="B1676" s="106">
        <v>701</v>
      </c>
      <c r="C1676" s="106">
        <v>22718</v>
      </c>
    </row>
    <row r="1677" spans="1:3">
      <c r="A1677" s="102">
        <v>41841</v>
      </c>
      <c r="B1677" s="106">
        <v>702</v>
      </c>
      <c r="C1677" s="106">
        <v>28972</v>
      </c>
    </row>
    <row r="1678" spans="1:3">
      <c r="A1678" s="102">
        <v>41842</v>
      </c>
      <c r="B1678" s="106">
        <v>300</v>
      </c>
      <c r="C1678" s="106">
        <v>23703</v>
      </c>
    </row>
    <row r="1679" spans="1:3">
      <c r="A1679" s="102">
        <v>41843</v>
      </c>
      <c r="B1679" s="106">
        <v>223</v>
      </c>
      <c r="C1679" s="106">
        <v>21810</v>
      </c>
    </row>
    <row r="1680" spans="1:3">
      <c r="A1680" s="102">
        <v>41844</v>
      </c>
      <c r="B1680" s="106">
        <v>234</v>
      </c>
      <c r="C1680" s="106">
        <v>22423</v>
      </c>
    </row>
    <row r="1681" spans="1:3">
      <c r="A1681" s="102">
        <v>41845</v>
      </c>
      <c r="B1681" s="106">
        <v>365</v>
      </c>
      <c r="C1681" s="106">
        <v>21334</v>
      </c>
    </row>
    <row r="1682" spans="1:3">
      <c r="A1682" s="102">
        <v>41848</v>
      </c>
      <c r="B1682" s="106">
        <v>15</v>
      </c>
      <c r="C1682" s="106">
        <v>21132</v>
      </c>
    </row>
    <row r="1683" spans="1:3">
      <c r="A1683" s="102">
        <v>41849</v>
      </c>
      <c r="B1683" s="106">
        <v>174</v>
      </c>
      <c r="C1683" s="106">
        <v>19837</v>
      </c>
    </row>
    <row r="1684" spans="1:3">
      <c r="A1684" s="102">
        <v>41850</v>
      </c>
      <c r="B1684" s="106">
        <v>17</v>
      </c>
      <c r="C1684" s="106">
        <v>21639</v>
      </c>
    </row>
    <row r="1685" spans="1:3">
      <c r="A1685" s="102">
        <v>41851</v>
      </c>
      <c r="B1685" s="106">
        <v>189</v>
      </c>
      <c r="C1685" s="106">
        <v>20241</v>
      </c>
    </row>
    <row r="1686" spans="1:3">
      <c r="A1686" s="102">
        <v>41852</v>
      </c>
      <c r="B1686" s="106">
        <v>45</v>
      </c>
      <c r="C1686" s="106">
        <v>44118</v>
      </c>
    </row>
    <row r="1687" spans="1:3">
      <c r="A1687" s="102">
        <v>41855</v>
      </c>
      <c r="B1687" s="106">
        <v>0</v>
      </c>
      <c r="C1687" s="106">
        <v>35942</v>
      </c>
    </row>
    <row r="1688" spans="1:3">
      <c r="A1688" s="102">
        <v>41856</v>
      </c>
      <c r="B1688" s="106">
        <v>5</v>
      </c>
      <c r="C1688" s="106">
        <v>32661</v>
      </c>
    </row>
    <row r="1689" spans="1:3">
      <c r="A1689" s="102">
        <v>41857</v>
      </c>
      <c r="B1689" s="106">
        <v>15</v>
      </c>
      <c r="C1689" s="106">
        <v>22734</v>
      </c>
    </row>
    <row r="1690" spans="1:3">
      <c r="A1690" s="102">
        <v>41858</v>
      </c>
      <c r="B1690" s="106">
        <v>0</v>
      </c>
      <c r="C1690" s="106">
        <v>25574</v>
      </c>
    </row>
    <row r="1691" spans="1:3">
      <c r="A1691" s="102">
        <v>41859</v>
      </c>
      <c r="B1691" s="106">
        <v>17</v>
      </c>
      <c r="C1691" s="106">
        <v>21146</v>
      </c>
    </row>
    <row r="1692" spans="1:3">
      <c r="A1692" s="102">
        <v>41860</v>
      </c>
      <c r="B1692" s="106">
        <v>17</v>
      </c>
      <c r="C1692" s="106">
        <v>21146</v>
      </c>
    </row>
    <row r="1693" spans="1:3">
      <c r="A1693" s="102">
        <v>41861</v>
      </c>
      <c r="B1693" s="106">
        <v>17</v>
      </c>
      <c r="C1693" s="106">
        <v>21146</v>
      </c>
    </row>
    <row r="1694" spans="1:3">
      <c r="A1694" s="102">
        <v>41862</v>
      </c>
      <c r="B1694" s="106">
        <v>154</v>
      </c>
      <c r="C1694" s="106">
        <v>22245</v>
      </c>
    </row>
    <row r="1695" spans="1:3">
      <c r="A1695" s="102">
        <v>41863</v>
      </c>
      <c r="B1695" s="106">
        <v>638</v>
      </c>
      <c r="C1695" s="106">
        <v>25370</v>
      </c>
    </row>
    <row r="1696" spans="1:3">
      <c r="A1696" s="102">
        <v>41864</v>
      </c>
      <c r="B1696" s="106">
        <v>0</v>
      </c>
      <c r="C1696" s="106">
        <v>19388</v>
      </c>
    </row>
    <row r="1697" spans="1:3">
      <c r="A1697" s="102">
        <v>41865</v>
      </c>
      <c r="B1697" s="106">
        <v>180</v>
      </c>
      <c r="C1697" s="106">
        <v>18823</v>
      </c>
    </row>
    <row r="1698" spans="1:3">
      <c r="A1698" s="102">
        <v>41866</v>
      </c>
      <c r="B1698" s="106">
        <v>4</v>
      </c>
      <c r="C1698" s="106">
        <v>19849</v>
      </c>
    </row>
    <row r="1699" spans="1:3">
      <c r="A1699" s="102">
        <v>41867</v>
      </c>
      <c r="B1699" s="106">
        <v>4</v>
      </c>
      <c r="C1699" s="106">
        <v>19849</v>
      </c>
    </row>
    <row r="1700" spans="1:3">
      <c r="A1700" s="102">
        <v>41868</v>
      </c>
      <c r="B1700" s="106">
        <v>4</v>
      </c>
      <c r="C1700" s="106">
        <v>19849</v>
      </c>
    </row>
    <row r="1701" spans="1:3">
      <c r="A1701" s="102">
        <v>41869</v>
      </c>
      <c r="B1701" s="106">
        <v>5</v>
      </c>
      <c r="C1701" s="106">
        <v>18834</v>
      </c>
    </row>
    <row r="1702" spans="1:3">
      <c r="A1702" s="102">
        <v>41870</v>
      </c>
      <c r="B1702" s="106">
        <v>29</v>
      </c>
      <c r="C1702" s="106">
        <v>20741</v>
      </c>
    </row>
    <row r="1703" spans="1:3">
      <c r="A1703" s="102">
        <v>41871</v>
      </c>
      <c r="B1703" s="106">
        <v>19</v>
      </c>
      <c r="C1703" s="106">
        <v>18360</v>
      </c>
    </row>
    <row r="1704" spans="1:3">
      <c r="A1704" s="102">
        <v>41872</v>
      </c>
      <c r="B1704" s="106">
        <v>4</v>
      </c>
      <c r="C1704" s="106">
        <v>23461</v>
      </c>
    </row>
    <row r="1705" spans="1:3">
      <c r="A1705" s="102">
        <v>41873</v>
      </c>
      <c r="B1705" s="106">
        <v>4</v>
      </c>
      <c r="C1705" s="106">
        <v>25626</v>
      </c>
    </row>
    <row r="1706" spans="1:3">
      <c r="A1706" s="102">
        <v>41876</v>
      </c>
      <c r="B1706" s="106">
        <v>0</v>
      </c>
      <c r="C1706" s="106">
        <v>25300</v>
      </c>
    </row>
    <row r="1707" spans="1:3">
      <c r="A1707" s="102">
        <v>41877</v>
      </c>
      <c r="B1707" s="106">
        <v>136</v>
      </c>
      <c r="C1707" s="106">
        <v>24417</v>
      </c>
    </row>
    <row r="1708" spans="1:3">
      <c r="A1708" s="102">
        <v>41878</v>
      </c>
      <c r="B1708" s="106">
        <v>10</v>
      </c>
      <c r="C1708" s="106">
        <v>27543</v>
      </c>
    </row>
    <row r="1709" spans="1:3">
      <c r="A1709" s="102">
        <v>41879</v>
      </c>
      <c r="B1709" s="106">
        <v>320</v>
      </c>
      <c r="C1709" s="106">
        <v>26870</v>
      </c>
    </row>
    <row r="1710" spans="1:3">
      <c r="A1710" s="102">
        <v>41880</v>
      </c>
      <c r="B1710" s="106">
        <v>917</v>
      </c>
      <c r="C1710" s="106">
        <v>30864</v>
      </c>
    </row>
    <row r="1711" spans="1:3">
      <c r="A1711" s="102">
        <v>41883</v>
      </c>
      <c r="B1711" s="106">
        <v>300</v>
      </c>
      <c r="C1711" s="106">
        <v>31594</v>
      </c>
    </row>
    <row r="1712" spans="1:3">
      <c r="A1712" s="102">
        <v>41884</v>
      </c>
      <c r="B1712" s="106">
        <v>300</v>
      </c>
      <c r="C1712" s="106">
        <v>33058</v>
      </c>
    </row>
    <row r="1713" spans="1:3">
      <c r="A1713" s="102">
        <v>41885</v>
      </c>
      <c r="B1713" s="106">
        <v>3</v>
      </c>
      <c r="C1713" s="106">
        <v>23950</v>
      </c>
    </row>
    <row r="1714" spans="1:3">
      <c r="A1714" s="102">
        <v>41886</v>
      </c>
      <c r="B1714" s="106">
        <v>0</v>
      </c>
      <c r="C1714" s="106">
        <v>28068</v>
      </c>
    </row>
    <row r="1715" spans="1:3">
      <c r="A1715" s="102">
        <v>41887</v>
      </c>
      <c r="B1715" s="106">
        <v>116</v>
      </c>
      <c r="C1715" s="106">
        <v>26650</v>
      </c>
    </row>
    <row r="1716" spans="1:3">
      <c r="A1716" s="102">
        <v>41890</v>
      </c>
      <c r="B1716" s="106">
        <v>0</v>
      </c>
      <c r="C1716" s="106">
        <v>24446</v>
      </c>
    </row>
    <row r="1717" spans="1:3">
      <c r="A1717" s="102">
        <v>41891</v>
      </c>
      <c r="B1717" s="106">
        <v>5</v>
      </c>
      <c r="C1717" s="106">
        <v>33021</v>
      </c>
    </row>
    <row r="1718" spans="1:3">
      <c r="A1718" s="102">
        <v>41892</v>
      </c>
      <c r="B1718" s="106">
        <v>111</v>
      </c>
      <c r="C1718" s="106">
        <v>19581</v>
      </c>
    </row>
    <row r="1719" spans="1:3">
      <c r="A1719" s="102">
        <v>41893</v>
      </c>
      <c r="B1719" s="106">
        <v>174</v>
      </c>
      <c r="C1719" s="106">
        <v>21376</v>
      </c>
    </row>
    <row r="1720" spans="1:3">
      <c r="A1720" s="102">
        <v>41894</v>
      </c>
      <c r="B1720" s="106">
        <v>150</v>
      </c>
      <c r="C1720" s="106">
        <v>21089</v>
      </c>
    </row>
    <row r="1721" spans="1:3">
      <c r="A1721" s="102">
        <v>41897</v>
      </c>
      <c r="B1721" s="106">
        <v>101</v>
      </c>
      <c r="C1721" s="106">
        <v>20413</v>
      </c>
    </row>
    <row r="1722" spans="1:3">
      <c r="A1722" s="102">
        <v>41898</v>
      </c>
      <c r="B1722" s="106">
        <v>115</v>
      </c>
      <c r="C1722" s="106">
        <v>22490</v>
      </c>
    </row>
    <row r="1723" spans="1:3">
      <c r="A1723" s="102">
        <v>41899</v>
      </c>
      <c r="B1723" s="106">
        <v>233</v>
      </c>
      <c r="C1723" s="106">
        <v>22368</v>
      </c>
    </row>
    <row r="1724" spans="1:3">
      <c r="A1724" s="102">
        <v>41900</v>
      </c>
      <c r="B1724" s="106">
        <v>220</v>
      </c>
      <c r="C1724" s="106">
        <v>19937</v>
      </c>
    </row>
    <row r="1725" spans="1:3">
      <c r="A1725" s="102">
        <v>41901</v>
      </c>
      <c r="B1725" s="106">
        <v>270</v>
      </c>
      <c r="C1725" s="106">
        <v>23077</v>
      </c>
    </row>
    <row r="1726" spans="1:3">
      <c r="A1726" s="102">
        <v>41904</v>
      </c>
      <c r="B1726" s="106">
        <v>42</v>
      </c>
      <c r="C1726" s="106">
        <v>20781</v>
      </c>
    </row>
    <row r="1727" spans="1:3">
      <c r="A1727" s="102">
        <v>41905</v>
      </c>
      <c r="B1727" s="106">
        <v>75</v>
      </c>
      <c r="C1727" s="106">
        <v>22392</v>
      </c>
    </row>
    <row r="1728" spans="1:3">
      <c r="A1728" s="102">
        <v>41906</v>
      </c>
      <c r="B1728" s="106">
        <v>156</v>
      </c>
      <c r="C1728" s="106">
        <v>24780</v>
      </c>
    </row>
    <row r="1729" spans="1:3">
      <c r="A1729" s="102">
        <v>41907</v>
      </c>
      <c r="B1729" s="106">
        <v>219</v>
      </c>
      <c r="C1729" s="106">
        <v>20860</v>
      </c>
    </row>
    <row r="1730" spans="1:3">
      <c r="A1730" s="102">
        <v>41908</v>
      </c>
      <c r="B1730" s="106">
        <v>326</v>
      </c>
      <c r="C1730" s="106">
        <v>24705</v>
      </c>
    </row>
    <row r="1731" spans="1:3">
      <c r="A1731" s="102">
        <v>41909</v>
      </c>
      <c r="B1731" s="106">
        <v>326</v>
      </c>
      <c r="C1731" s="106">
        <v>24705</v>
      </c>
    </row>
    <row r="1732" spans="1:3">
      <c r="A1732" s="102">
        <v>41910</v>
      </c>
      <c r="B1732" s="106">
        <v>326</v>
      </c>
      <c r="C1732" s="106">
        <v>24705</v>
      </c>
    </row>
    <row r="1733" spans="1:3">
      <c r="A1733" s="102">
        <v>41911</v>
      </c>
      <c r="B1733" s="106">
        <v>250</v>
      </c>
      <c r="C1733" s="106">
        <v>22960</v>
      </c>
    </row>
    <row r="1734" spans="1:3">
      <c r="A1734" s="102">
        <v>41912</v>
      </c>
      <c r="B1734" s="106">
        <v>1143</v>
      </c>
      <c r="C1734" s="106">
        <v>24596</v>
      </c>
    </row>
    <row r="1735" spans="1:3">
      <c r="A1735" s="102">
        <v>41913</v>
      </c>
      <c r="B1735" s="106">
        <v>0</v>
      </c>
      <c r="C1735" s="106">
        <v>23885</v>
      </c>
    </row>
    <row r="1736" spans="1:3">
      <c r="A1736" s="102">
        <v>41914</v>
      </c>
      <c r="B1736" s="106">
        <v>150</v>
      </c>
      <c r="C1736" s="106">
        <v>23877</v>
      </c>
    </row>
    <row r="1737" spans="1:3">
      <c r="A1737" s="102">
        <v>41915</v>
      </c>
      <c r="B1737" s="106">
        <v>117</v>
      </c>
      <c r="C1737" s="106">
        <v>30353</v>
      </c>
    </row>
    <row r="1738" spans="1:3">
      <c r="A1738" s="102">
        <v>41918</v>
      </c>
      <c r="B1738" s="106">
        <v>42</v>
      </c>
      <c r="C1738" s="106">
        <v>45458</v>
      </c>
    </row>
    <row r="1739" spans="1:3">
      <c r="A1739" s="102">
        <v>41919</v>
      </c>
      <c r="B1739" s="106">
        <v>24</v>
      </c>
      <c r="C1739" s="106">
        <v>26092</v>
      </c>
    </row>
    <row r="1740" spans="1:3">
      <c r="A1740" s="102">
        <v>41920</v>
      </c>
      <c r="B1740" s="106">
        <v>451</v>
      </c>
      <c r="C1740" s="106">
        <v>22125</v>
      </c>
    </row>
    <row r="1741" spans="1:3">
      <c r="A1741" s="102">
        <v>41921</v>
      </c>
      <c r="B1741" s="106">
        <v>11</v>
      </c>
      <c r="C1741" s="106">
        <v>25497</v>
      </c>
    </row>
    <row r="1742" spans="1:3">
      <c r="A1742" s="102">
        <v>41922</v>
      </c>
      <c r="B1742" s="106">
        <v>112</v>
      </c>
      <c r="C1742" s="106">
        <v>23105</v>
      </c>
    </row>
    <row r="1743" spans="1:3">
      <c r="A1743" s="102">
        <v>41925</v>
      </c>
      <c r="B1743" s="106">
        <v>106</v>
      </c>
      <c r="C1743" s="106">
        <v>25593</v>
      </c>
    </row>
    <row r="1744" spans="1:3">
      <c r="A1744" s="102">
        <v>41926</v>
      </c>
      <c r="B1744" s="106">
        <v>173</v>
      </c>
      <c r="C1744" s="106">
        <v>28708</v>
      </c>
    </row>
    <row r="1745" spans="1:3">
      <c r="A1745" s="102">
        <v>41927</v>
      </c>
      <c r="B1745" s="106">
        <v>177</v>
      </c>
      <c r="C1745" s="106">
        <v>25369</v>
      </c>
    </row>
    <row r="1746" spans="1:3">
      <c r="A1746" s="102">
        <v>41928</v>
      </c>
      <c r="B1746" s="106">
        <v>132</v>
      </c>
      <c r="C1746" s="106">
        <v>25486</v>
      </c>
    </row>
    <row r="1747" spans="1:3">
      <c r="A1747" s="102">
        <v>41929</v>
      </c>
      <c r="B1747" s="106">
        <v>125</v>
      </c>
      <c r="C1747" s="106">
        <v>29045</v>
      </c>
    </row>
    <row r="1748" spans="1:3">
      <c r="A1748" s="102">
        <v>41932</v>
      </c>
      <c r="B1748" s="106">
        <v>264</v>
      </c>
      <c r="C1748" s="106">
        <v>27185</v>
      </c>
    </row>
    <row r="1749" spans="1:3">
      <c r="A1749" s="102">
        <v>41933</v>
      </c>
      <c r="B1749" s="106">
        <v>317</v>
      </c>
      <c r="C1749" s="106">
        <v>25139</v>
      </c>
    </row>
    <row r="1750" spans="1:3">
      <c r="A1750" s="102">
        <v>41934</v>
      </c>
      <c r="B1750" s="106">
        <v>482</v>
      </c>
      <c r="C1750" s="106">
        <v>27594</v>
      </c>
    </row>
    <row r="1751" spans="1:3">
      <c r="A1751" s="102">
        <v>41935</v>
      </c>
      <c r="B1751" s="106">
        <v>482</v>
      </c>
      <c r="C1751" s="106">
        <v>25057</v>
      </c>
    </row>
    <row r="1752" spans="1:3">
      <c r="A1752" s="102">
        <v>41936</v>
      </c>
      <c r="B1752" s="106">
        <v>200</v>
      </c>
      <c r="C1752" s="106">
        <v>27127</v>
      </c>
    </row>
    <row r="1753" spans="1:3">
      <c r="A1753" s="102">
        <v>41937</v>
      </c>
      <c r="B1753" s="106">
        <v>200</v>
      </c>
      <c r="C1753" s="106">
        <v>27127</v>
      </c>
    </row>
    <row r="1754" spans="1:3">
      <c r="A1754" s="102">
        <v>41938</v>
      </c>
      <c r="B1754" s="106">
        <v>200</v>
      </c>
      <c r="C1754" s="106">
        <v>27127</v>
      </c>
    </row>
    <row r="1755" spans="1:3">
      <c r="A1755" s="102">
        <v>41939</v>
      </c>
      <c r="B1755" s="106">
        <v>241</v>
      </c>
      <c r="C1755" s="106">
        <v>31045</v>
      </c>
    </row>
    <row r="1756" spans="1:3">
      <c r="A1756" s="102">
        <v>41940</v>
      </c>
      <c r="B1756" s="106">
        <v>412</v>
      </c>
      <c r="C1756" s="106">
        <v>41269</v>
      </c>
    </row>
    <row r="1757" spans="1:3">
      <c r="A1757" s="102">
        <v>41941</v>
      </c>
      <c r="B1757" s="106">
        <v>450</v>
      </c>
      <c r="C1757" s="106">
        <v>29257</v>
      </c>
    </row>
    <row r="1758" spans="1:3">
      <c r="A1758" s="102">
        <v>41942</v>
      </c>
      <c r="B1758" s="106">
        <v>429</v>
      </c>
      <c r="C1758" s="106">
        <v>31825</v>
      </c>
    </row>
    <row r="1759" spans="1:3">
      <c r="A1759" s="102">
        <v>41943</v>
      </c>
      <c r="B1759" s="106">
        <v>1003</v>
      </c>
      <c r="C1759" s="106">
        <v>38415</v>
      </c>
    </row>
    <row r="1760" spans="1:3">
      <c r="A1760" s="102">
        <v>41946</v>
      </c>
      <c r="B1760" s="106">
        <v>273</v>
      </c>
      <c r="C1760" s="106">
        <v>46471</v>
      </c>
    </row>
    <row r="1761" spans="1:3">
      <c r="A1761" s="102">
        <v>41947</v>
      </c>
      <c r="B1761" s="106">
        <v>101</v>
      </c>
      <c r="C1761" s="106">
        <v>41381</v>
      </c>
    </row>
    <row r="1762" spans="1:3">
      <c r="A1762" s="102">
        <v>41948</v>
      </c>
      <c r="B1762" s="106">
        <v>1</v>
      </c>
      <c r="C1762" s="106">
        <v>31941</v>
      </c>
    </row>
    <row r="1763" spans="1:3">
      <c r="A1763" s="102">
        <v>41949</v>
      </c>
      <c r="B1763" s="106">
        <v>1</v>
      </c>
      <c r="C1763" s="106">
        <v>38698</v>
      </c>
    </row>
    <row r="1764" spans="1:3">
      <c r="A1764" s="102">
        <v>41950</v>
      </c>
      <c r="B1764" s="106">
        <v>4</v>
      </c>
      <c r="C1764" s="106">
        <v>42032</v>
      </c>
    </row>
    <row r="1765" spans="1:3">
      <c r="A1765" s="102">
        <v>41951</v>
      </c>
      <c r="B1765" s="106">
        <v>4</v>
      </c>
      <c r="C1765" s="106">
        <v>42032</v>
      </c>
    </row>
    <row r="1766" spans="1:3">
      <c r="A1766" s="102">
        <v>41952</v>
      </c>
      <c r="B1766" s="106">
        <v>4</v>
      </c>
      <c r="C1766" s="106">
        <v>42032</v>
      </c>
    </row>
    <row r="1767" spans="1:3">
      <c r="A1767" s="102">
        <v>41953</v>
      </c>
      <c r="B1767" s="106">
        <v>0</v>
      </c>
      <c r="C1767" s="106">
        <v>27820</v>
      </c>
    </row>
    <row r="1768" spans="1:3">
      <c r="A1768" s="102">
        <v>41954</v>
      </c>
      <c r="B1768" s="106">
        <v>101</v>
      </c>
      <c r="C1768" s="106">
        <v>27427</v>
      </c>
    </row>
    <row r="1769" spans="1:3">
      <c r="A1769" s="102">
        <v>41955</v>
      </c>
      <c r="B1769" s="106">
        <v>160</v>
      </c>
      <c r="C1769" s="106">
        <v>28853</v>
      </c>
    </row>
    <row r="1770" spans="1:3">
      <c r="A1770" s="102">
        <v>41956</v>
      </c>
      <c r="B1770" s="106">
        <v>101</v>
      </c>
      <c r="C1770" s="106">
        <v>23048</v>
      </c>
    </row>
    <row r="1771" spans="1:3">
      <c r="A1771" s="102">
        <v>41957</v>
      </c>
      <c r="B1771" s="106">
        <v>110</v>
      </c>
      <c r="C1771" s="106">
        <v>25627</v>
      </c>
    </row>
    <row r="1772" spans="1:3">
      <c r="A1772" s="102">
        <v>41958</v>
      </c>
      <c r="B1772" s="106">
        <v>110</v>
      </c>
      <c r="C1772" s="106">
        <v>25627</v>
      </c>
    </row>
    <row r="1773" spans="1:3">
      <c r="A1773" s="102">
        <v>41959</v>
      </c>
      <c r="B1773" s="106">
        <v>110</v>
      </c>
      <c r="C1773" s="106">
        <v>25627</v>
      </c>
    </row>
    <row r="1774" spans="1:3">
      <c r="A1774" s="102">
        <v>41960</v>
      </c>
      <c r="B1774" s="106">
        <v>70</v>
      </c>
      <c r="C1774" s="106">
        <v>26169</v>
      </c>
    </row>
    <row r="1775" spans="1:3">
      <c r="A1775" s="102">
        <v>41961</v>
      </c>
      <c r="B1775" s="106">
        <v>3</v>
      </c>
      <c r="C1775" s="106">
        <v>27884</v>
      </c>
    </row>
    <row r="1776" spans="1:3">
      <c r="A1776" s="102">
        <v>41962</v>
      </c>
      <c r="B1776" s="106">
        <v>60</v>
      </c>
      <c r="C1776" s="106">
        <v>25336</v>
      </c>
    </row>
    <row r="1777" spans="1:3">
      <c r="A1777" s="102">
        <v>41963</v>
      </c>
      <c r="B1777" s="106">
        <v>64</v>
      </c>
      <c r="C1777" s="106">
        <v>19767</v>
      </c>
    </row>
    <row r="1778" spans="1:3">
      <c r="A1778" s="102">
        <v>41964</v>
      </c>
      <c r="B1778" s="106">
        <v>3</v>
      </c>
      <c r="C1778" s="106">
        <v>22023</v>
      </c>
    </row>
    <row r="1779" spans="1:3">
      <c r="A1779" s="102">
        <v>41965</v>
      </c>
      <c r="B1779" s="106">
        <v>3</v>
      </c>
      <c r="C1779" s="106">
        <v>22023</v>
      </c>
    </row>
    <row r="1780" spans="1:3">
      <c r="A1780" s="102">
        <v>41966</v>
      </c>
      <c r="B1780" s="106">
        <v>3</v>
      </c>
      <c r="C1780" s="106">
        <v>22023</v>
      </c>
    </row>
    <row r="1781" spans="1:3">
      <c r="A1781" s="102">
        <v>41967</v>
      </c>
      <c r="B1781" s="106">
        <v>65</v>
      </c>
      <c r="C1781" s="106">
        <v>21952</v>
      </c>
    </row>
    <row r="1782" spans="1:3">
      <c r="A1782" s="102">
        <v>41968</v>
      </c>
      <c r="B1782" s="106">
        <v>3</v>
      </c>
      <c r="C1782" s="106">
        <v>25204</v>
      </c>
    </row>
    <row r="1783" spans="1:3">
      <c r="A1783" s="102">
        <v>41969</v>
      </c>
      <c r="B1783" s="106">
        <v>282</v>
      </c>
      <c r="C1783" s="106">
        <v>21779</v>
      </c>
    </row>
    <row r="1784" spans="1:3">
      <c r="A1784" s="102">
        <v>41970</v>
      </c>
      <c r="B1784" s="106">
        <v>803</v>
      </c>
      <c r="C1784" s="106">
        <v>23951</v>
      </c>
    </row>
    <row r="1785" spans="1:3">
      <c r="A1785" s="102">
        <v>41971</v>
      </c>
      <c r="B1785" s="106">
        <v>682</v>
      </c>
      <c r="C1785" s="106">
        <v>38817</v>
      </c>
    </row>
    <row r="1786" spans="1:3">
      <c r="A1786" s="102">
        <v>41972</v>
      </c>
      <c r="B1786" s="106">
        <v>682</v>
      </c>
      <c r="C1786" s="106">
        <v>38817</v>
      </c>
    </row>
    <row r="1787" spans="1:3">
      <c r="A1787" s="102">
        <v>41973</v>
      </c>
      <c r="B1787" s="106">
        <v>682</v>
      </c>
      <c r="C1787" s="106">
        <v>38817</v>
      </c>
    </row>
    <row r="1788" spans="1:3">
      <c r="A1788" s="102">
        <v>41974</v>
      </c>
      <c r="B1788" s="106">
        <v>676</v>
      </c>
      <c r="C1788" s="106">
        <v>32051</v>
      </c>
    </row>
    <row r="1789" spans="1:3">
      <c r="A1789" s="102">
        <v>41975</v>
      </c>
      <c r="B1789" s="106">
        <v>525</v>
      </c>
      <c r="C1789" s="106">
        <v>33039</v>
      </c>
    </row>
    <row r="1790" spans="1:3">
      <c r="A1790" s="102">
        <v>41976</v>
      </c>
      <c r="B1790" s="106">
        <v>70</v>
      </c>
      <c r="C1790" s="106">
        <v>30946</v>
      </c>
    </row>
    <row r="1791" spans="1:3">
      <c r="A1791" s="102">
        <v>41977</v>
      </c>
      <c r="B1791" s="106">
        <v>36</v>
      </c>
      <c r="C1791" s="106">
        <v>27747</v>
      </c>
    </row>
    <row r="1792" spans="1:3">
      <c r="A1792" s="102">
        <v>41978</v>
      </c>
      <c r="B1792" s="106">
        <v>91</v>
      </c>
      <c r="C1792" s="106">
        <v>28015</v>
      </c>
    </row>
    <row r="1793" spans="1:3">
      <c r="A1793" s="102">
        <v>41979</v>
      </c>
      <c r="B1793" s="106">
        <v>91</v>
      </c>
      <c r="C1793" s="106">
        <v>28015</v>
      </c>
    </row>
    <row r="1794" spans="1:3">
      <c r="A1794" s="102">
        <v>41980</v>
      </c>
      <c r="B1794" s="106">
        <v>91</v>
      </c>
      <c r="C1794" s="106">
        <v>28015</v>
      </c>
    </row>
    <row r="1795" spans="1:3">
      <c r="A1795" s="102">
        <v>41981</v>
      </c>
      <c r="B1795" s="106">
        <v>131</v>
      </c>
      <c r="C1795" s="106">
        <v>31516</v>
      </c>
    </row>
    <row r="1796" spans="1:3">
      <c r="A1796" s="102">
        <v>41982</v>
      </c>
      <c r="B1796" s="106">
        <v>83</v>
      </c>
      <c r="C1796" s="106">
        <v>29418</v>
      </c>
    </row>
    <row r="1797" spans="1:3">
      <c r="A1797" s="102">
        <v>41983</v>
      </c>
      <c r="B1797" s="106">
        <v>0</v>
      </c>
      <c r="C1797" s="106">
        <v>18891</v>
      </c>
    </row>
    <row r="1798" spans="1:3">
      <c r="A1798" s="102">
        <v>41984</v>
      </c>
      <c r="B1798" s="106">
        <v>42</v>
      </c>
      <c r="C1798" s="106">
        <v>20854</v>
      </c>
    </row>
    <row r="1799" spans="1:3">
      <c r="A1799" s="102">
        <v>41985</v>
      </c>
      <c r="B1799" s="106">
        <v>87</v>
      </c>
      <c r="C1799" s="106">
        <v>26497</v>
      </c>
    </row>
    <row r="1800" spans="1:3">
      <c r="A1800" s="102">
        <v>41986</v>
      </c>
      <c r="B1800" s="106">
        <v>87</v>
      </c>
      <c r="C1800" s="106">
        <v>26497</v>
      </c>
    </row>
    <row r="1801" spans="1:3">
      <c r="A1801" s="102">
        <v>41987</v>
      </c>
      <c r="B1801" s="106">
        <v>87</v>
      </c>
      <c r="C1801" s="106">
        <v>26497</v>
      </c>
    </row>
    <row r="1802" spans="1:3">
      <c r="A1802" s="102">
        <v>41988</v>
      </c>
      <c r="B1802" s="106">
        <v>0</v>
      </c>
      <c r="C1802" s="106">
        <v>27718</v>
      </c>
    </row>
    <row r="1803" spans="1:3">
      <c r="A1803" s="102">
        <v>41989</v>
      </c>
      <c r="B1803" s="106">
        <v>164</v>
      </c>
      <c r="C1803" s="106">
        <v>20326</v>
      </c>
    </row>
    <row r="1804" spans="1:3">
      <c r="A1804" s="102">
        <v>41990</v>
      </c>
      <c r="B1804" s="106">
        <v>16</v>
      </c>
      <c r="C1804" s="106">
        <v>38713</v>
      </c>
    </row>
    <row r="1805" spans="1:3">
      <c r="A1805" s="102">
        <v>41991</v>
      </c>
      <c r="B1805" s="106">
        <v>66</v>
      </c>
      <c r="C1805" s="106">
        <v>42977</v>
      </c>
    </row>
    <row r="1806" spans="1:3">
      <c r="A1806" s="102">
        <v>41992</v>
      </c>
      <c r="B1806" s="106">
        <v>3</v>
      </c>
      <c r="C1806" s="106">
        <v>38925</v>
      </c>
    </row>
    <row r="1807" spans="1:3">
      <c r="A1807" s="102">
        <v>41993</v>
      </c>
      <c r="B1807" s="106">
        <v>3</v>
      </c>
      <c r="C1807" s="106">
        <v>38925</v>
      </c>
    </row>
    <row r="1808" spans="1:3">
      <c r="A1808" s="102">
        <v>41994</v>
      </c>
      <c r="B1808" s="106">
        <v>3</v>
      </c>
      <c r="C1808" s="106">
        <v>38925</v>
      </c>
    </row>
    <row r="1809" spans="1:3">
      <c r="A1809" s="102">
        <v>41995</v>
      </c>
      <c r="B1809" s="106">
        <v>83</v>
      </c>
      <c r="C1809" s="106">
        <v>38742</v>
      </c>
    </row>
    <row r="1810" spans="1:3">
      <c r="A1810" s="102">
        <v>41996</v>
      </c>
      <c r="B1810" s="106">
        <v>23</v>
      </c>
      <c r="C1810" s="106">
        <v>37903</v>
      </c>
    </row>
    <row r="1811" spans="1:3">
      <c r="A1811" s="102">
        <v>41997</v>
      </c>
      <c r="B1811" s="106">
        <v>39</v>
      </c>
      <c r="C1811" s="106">
        <v>43525</v>
      </c>
    </row>
    <row r="1812" spans="1:3">
      <c r="A1812" s="102">
        <v>41998</v>
      </c>
      <c r="B1812" s="106">
        <v>39</v>
      </c>
      <c r="C1812" s="106">
        <v>43525</v>
      </c>
    </row>
    <row r="1813" spans="1:3">
      <c r="A1813" s="102">
        <v>41999</v>
      </c>
      <c r="B1813" s="106">
        <v>39</v>
      </c>
      <c r="C1813" s="106">
        <v>43525</v>
      </c>
    </row>
    <row r="1814" spans="1:3">
      <c r="A1814" s="102">
        <v>42000</v>
      </c>
      <c r="B1814" s="106">
        <v>39</v>
      </c>
      <c r="C1814" s="106">
        <v>43525</v>
      </c>
    </row>
    <row r="1815" spans="1:3">
      <c r="A1815" s="102">
        <v>42001</v>
      </c>
      <c r="B1815" s="106">
        <v>39</v>
      </c>
      <c r="C1815" s="106">
        <v>43525</v>
      </c>
    </row>
    <row r="1816" spans="1:3">
      <c r="A1816" s="102">
        <v>42002</v>
      </c>
      <c r="B1816" s="106">
        <v>42</v>
      </c>
      <c r="C1816" s="106">
        <v>38764</v>
      </c>
    </row>
    <row r="1817" spans="1:3">
      <c r="A1817" s="102">
        <v>42003</v>
      </c>
      <c r="B1817" s="106">
        <v>4</v>
      </c>
      <c r="C1817" s="106">
        <v>45651</v>
      </c>
    </row>
    <row r="1818" spans="1:3">
      <c r="A1818" s="147">
        <v>42004</v>
      </c>
      <c r="B1818" s="148">
        <v>924</v>
      </c>
      <c r="C1818" s="148">
        <v>48266</v>
      </c>
    </row>
    <row r="1819" spans="1:3">
      <c r="A1819" s="102">
        <v>42005</v>
      </c>
      <c r="B1819" s="106">
        <v>924</v>
      </c>
      <c r="C1819" s="106">
        <v>48266</v>
      </c>
    </row>
    <row r="1820" spans="1:3">
      <c r="A1820" s="102">
        <v>42006</v>
      </c>
      <c r="B1820" s="106">
        <v>325</v>
      </c>
      <c r="C1820" s="106">
        <v>61680</v>
      </c>
    </row>
    <row r="1821" spans="1:3">
      <c r="A1821" s="102">
        <v>42007</v>
      </c>
      <c r="B1821" s="106">
        <v>325</v>
      </c>
      <c r="C1821" s="106">
        <v>61680</v>
      </c>
    </row>
    <row r="1822" spans="1:3">
      <c r="A1822" s="102">
        <v>42008</v>
      </c>
      <c r="B1822" s="106">
        <v>325</v>
      </c>
      <c r="C1822" s="106">
        <v>61680</v>
      </c>
    </row>
    <row r="1823" spans="1:3">
      <c r="A1823" s="102">
        <v>42009</v>
      </c>
      <c r="B1823" s="106">
        <v>58</v>
      </c>
      <c r="C1823" s="106">
        <v>70925</v>
      </c>
    </row>
    <row r="1824" spans="1:3">
      <c r="A1824" s="102">
        <v>42010</v>
      </c>
      <c r="B1824" s="106">
        <v>0</v>
      </c>
      <c r="C1824" s="106">
        <v>70367</v>
      </c>
    </row>
    <row r="1825" spans="1:3">
      <c r="A1825" s="102">
        <v>42011</v>
      </c>
      <c r="B1825" s="106">
        <v>14</v>
      </c>
      <c r="C1825" s="106">
        <v>61532</v>
      </c>
    </row>
    <row r="1826" spans="1:3">
      <c r="A1826" s="102">
        <v>42012</v>
      </c>
      <c r="B1826" s="106">
        <v>2</v>
      </c>
      <c r="C1826" s="106">
        <v>64285</v>
      </c>
    </row>
    <row r="1827" spans="1:3">
      <c r="A1827" s="102">
        <v>42013</v>
      </c>
      <c r="B1827" s="106">
        <v>2</v>
      </c>
      <c r="C1827" s="106">
        <v>73702</v>
      </c>
    </row>
    <row r="1828" spans="1:3">
      <c r="A1828" s="102">
        <v>42014</v>
      </c>
      <c r="B1828" s="106">
        <v>2</v>
      </c>
      <c r="C1828" s="106">
        <v>73702</v>
      </c>
    </row>
    <row r="1829" spans="1:3">
      <c r="A1829" s="102">
        <v>42015</v>
      </c>
      <c r="B1829" s="106">
        <v>2</v>
      </c>
      <c r="C1829" s="106">
        <v>73702</v>
      </c>
    </row>
    <row r="1830" spans="1:3">
      <c r="A1830" s="102">
        <v>42016</v>
      </c>
      <c r="B1830" s="106">
        <v>5</v>
      </c>
      <c r="C1830" s="106">
        <v>70430</v>
      </c>
    </row>
    <row r="1831" spans="1:3">
      <c r="A1831" s="102">
        <v>42017</v>
      </c>
      <c r="B1831" s="106">
        <v>5</v>
      </c>
      <c r="C1831" s="106">
        <v>68491</v>
      </c>
    </row>
    <row r="1832" spans="1:3">
      <c r="A1832" s="102">
        <v>42018</v>
      </c>
      <c r="B1832" s="106">
        <v>1</v>
      </c>
      <c r="C1832" s="106">
        <v>69534</v>
      </c>
    </row>
    <row r="1833" spans="1:3">
      <c r="A1833" s="102">
        <v>42019</v>
      </c>
      <c r="B1833" s="106">
        <v>4</v>
      </c>
      <c r="C1833" s="106">
        <v>61793</v>
      </c>
    </row>
    <row r="1834" spans="1:3">
      <c r="A1834" s="102">
        <v>42020</v>
      </c>
      <c r="B1834" s="106">
        <v>707</v>
      </c>
      <c r="C1834" s="106">
        <v>65571</v>
      </c>
    </row>
    <row r="1835" spans="1:3">
      <c r="A1835" s="102">
        <v>42023</v>
      </c>
      <c r="B1835" s="106">
        <v>1982</v>
      </c>
      <c r="C1835" s="106">
        <v>74971</v>
      </c>
    </row>
    <row r="1836" spans="1:3">
      <c r="A1836" s="102">
        <v>42024</v>
      </c>
      <c r="B1836" s="106">
        <v>3731</v>
      </c>
      <c r="C1836" s="106">
        <v>58424</v>
      </c>
    </row>
    <row r="1837" spans="1:3">
      <c r="A1837" s="102">
        <v>42025</v>
      </c>
      <c r="B1837" s="106">
        <v>833</v>
      </c>
      <c r="C1837" s="106">
        <v>40314</v>
      </c>
    </row>
    <row r="1838" spans="1:3">
      <c r="A1838" s="102">
        <v>42026</v>
      </c>
      <c r="B1838" s="106">
        <v>1213</v>
      </c>
      <c r="C1838" s="106">
        <v>46476</v>
      </c>
    </row>
    <row r="1839" spans="1:3">
      <c r="A1839" s="102">
        <v>42027</v>
      </c>
      <c r="B1839" s="106">
        <v>1623</v>
      </c>
      <c r="C1839" s="106">
        <v>54493</v>
      </c>
    </row>
    <row r="1840" spans="1:3">
      <c r="A1840" s="102">
        <v>42028</v>
      </c>
      <c r="B1840" s="106">
        <v>1623</v>
      </c>
      <c r="C1840" s="106">
        <v>54493</v>
      </c>
    </row>
    <row r="1841" spans="1:3">
      <c r="A1841" s="102">
        <v>42029</v>
      </c>
      <c r="B1841" s="106">
        <v>1623</v>
      </c>
      <c r="C1841" s="106">
        <v>54493</v>
      </c>
    </row>
    <row r="1842" spans="1:3">
      <c r="A1842" s="102">
        <v>42030</v>
      </c>
      <c r="B1842" s="106">
        <v>1961</v>
      </c>
      <c r="C1842" s="106">
        <v>51538</v>
      </c>
    </row>
    <row r="1843" spans="1:3">
      <c r="A1843" s="102">
        <v>42031</v>
      </c>
      <c r="B1843" s="106">
        <v>2332</v>
      </c>
      <c r="C1843" s="106">
        <v>45125</v>
      </c>
    </row>
    <row r="1844" spans="1:3">
      <c r="A1844" s="102">
        <v>42032</v>
      </c>
      <c r="B1844" s="106">
        <v>308</v>
      </c>
      <c r="C1844" s="106">
        <v>36693</v>
      </c>
    </row>
    <row r="1845" spans="1:3">
      <c r="A1845" s="102">
        <v>42033</v>
      </c>
      <c r="B1845" s="106">
        <v>35</v>
      </c>
      <c r="C1845" s="106">
        <v>42608</v>
      </c>
    </row>
    <row r="1846" spans="1:3">
      <c r="A1846" s="102">
        <v>42034</v>
      </c>
      <c r="B1846" s="106">
        <v>217</v>
      </c>
      <c r="C1846" s="106">
        <v>36557</v>
      </c>
    </row>
    <row r="1847" spans="1:3">
      <c r="A1847" s="102">
        <v>42035</v>
      </c>
      <c r="B1847" s="106">
        <v>217</v>
      </c>
      <c r="C1847" s="106">
        <v>36557</v>
      </c>
    </row>
    <row r="1848" spans="1:3">
      <c r="A1848" s="102">
        <v>42036</v>
      </c>
      <c r="B1848" s="106">
        <v>217</v>
      </c>
      <c r="C1848" s="106">
        <v>36557</v>
      </c>
    </row>
    <row r="1849" spans="1:3">
      <c r="A1849" s="102">
        <v>42037</v>
      </c>
      <c r="B1849" s="106">
        <v>12</v>
      </c>
      <c r="C1849" s="106">
        <v>52783</v>
      </c>
    </row>
    <row r="1850" spans="1:3">
      <c r="A1850" s="102">
        <v>42038</v>
      </c>
      <c r="B1850" s="106">
        <v>26</v>
      </c>
      <c r="C1850" s="106">
        <v>53308</v>
      </c>
    </row>
    <row r="1851" spans="1:3">
      <c r="A1851" s="102">
        <v>42039</v>
      </c>
      <c r="B1851" s="106">
        <v>556</v>
      </c>
      <c r="C1851" s="106">
        <v>35015</v>
      </c>
    </row>
    <row r="1852" spans="1:3">
      <c r="A1852" s="102">
        <v>42040</v>
      </c>
      <c r="B1852" s="106">
        <v>748</v>
      </c>
      <c r="C1852" s="106">
        <v>32776</v>
      </c>
    </row>
    <row r="1853" spans="1:3">
      <c r="A1853" s="102">
        <v>42041</v>
      </c>
      <c r="B1853" s="106">
        <v>517</v>
      </c>
      <c r="C1853" s="106">
        <v>35802</v>
      </c>
    </row>
    <row r="1854" spans="1:3">
      <c r="A1854" s="102">
        <v>42044</v>
      </c>
      <c r="B1854" s="106">
        <v>859</v>
      </c>
      <c r="C1854" s="106">
        <v>42382</v>
      </c>
    </row>
    <row r="1855" spans="1:3">
      <c r="A1855" s="102">
        <v>42045</v>
      </c>
      <c r="B1855" s="106">
        <v>724</v>
      </c>
      <c r="C1855" s="106">
        <v>42079</v>
      </c>
    </row>
    <row r="1856" spans="1:3">
      <c r="A1856" s="102">
        <v>42046</v>
      </c>
      <c r="B1856" s="106">
        <v>178</v>
      </c>
      <c r="C1856" s="106">
        <v>45489</v>
      </c>
    </row>
    <row r="1857" spans="1:3">
      <c r="A1857" s="102">
        <v>42047</v>
      </c>
      <c r="B1857" s="106">
        <v>295</v>
      </c>
      <c r="C1857" s="106">
        <v>45152</v>
      </c>
    </row>
    <row r="1858" spans="1:3">
      <c r="A1858" s="102">
        <v>42048</v>
      </c>
      <c r="B1858" s="106">
        <v>211</v>
      </c>
      <c r="C1858" s="106">
        <v>45428</v>
      </c>
    </row>
    <row r="1859" spans="1:3">
      <c r="A1859" s="102">
        <v>42051</v>
      </c>
      <c r="B1859" s="106">
        <v>132</v>
      </c>
      <c r="C1859" s="106">
        <v>44642</v>
      </c>
    </row>
    <row r="1860" spans="1:3">
      <c r="A1860" s="102">
        <v>42052</v>
      </c>
      <c r="B1860" s="106">
        <v>215</v>
      </c>
      <c r="C1860" s="106">
        <v>48180</v>
      </c>
    </row>
    <row r="1861" spans="1:3">
      <c r="A1861" s="102">
        <v>42053</v>
      </c>
      <c r="B1861" s="106">
        <v>65</v>
      </c>
      <c r="C1861" s="106">
        <v>47246</v>
      </c>
    </row>
    <row r="1862" spans="1:3">
      <c r="A1862" s="102">
        <v>42054</v>
      </c>
      <c r="B1862" s="106">
        <v>507</v>
      </c>
      <c r="C1862" s="106">
        <v>40891</v>
      </c>
    </row>
    <row r="1863" spans="1:3">
      <c r="A1863" s="102">
        <v>42055</v>
      </c>
      <c r="B1863" s="106">
        <v>1205</v>
      </c>
      <c r="C1863" s="106">
        <v>41984</v>
      </c>
    </row>
    <row r="1864" spans="1:3">
      <c r="A1864" s="102">
        <v>42056</v>
      </c>
      <c r="B1864" s="106">
        <v>1205</v>
      </c>
      <c r="C1864" s="106">
        <v>41984</v>
      </c>
    </row>
    <row r="1865" spans="1:3">
      <c r="A1865" s="102">
        <v>42057</v>
      </c>
      <c r="B1865" s="106">
        <v>1205</v>
      </c>
      <c r="C1865" s="106">
        <v>41984</v>
      </c>
    </row>
    <row r="1866" spans="1:3">
      <c r="A1866" s="102">
        <v>42058</v>
      </c>
      <c r="B1866" s="106">
        <v>1203</v>
      </c>
      <c r="C1866" s="106">
        <v>36710</v>
      </c>
    </row>
    <row r="1867" spans="1:3">
      <c r="A1867" s="102">
        <v>42059</v>
      </c>
      <c r="B1867" s="106">
        <v>972</v>
      </c>
      <c r="C1867" s="106">
        <v>36294</v>
      </c>
    </row>
    <row r="1868" spans="1:3">
      <c r="A1868" s="102">
        <v>42060</v>
      </c>
      <c r="B1868" s="106">
        <v>6</v>
      </c>
      <c r="C1868" s="106">
        <v>38140</v>
      </c>
    </row>
    <row r="1869" spans="1:3">
      <c r="A1869" s="102">
        <v>42061</v>
      </c>
      <c r="B1869" s="106">
        <v>154</v>
      </c>
      <c r="C1869" s="106">
        <v>34233</v>
      </c>
    </row>
    <row r="1870" spans="1:3">
      <c r="A1870" s="102">
        <v>42062</v>
      </c>
      <c r="B1870" s="106">
        <v>326</v>
      </c>
      <c r="C1870" s="106">
        <v>37067</v>
      </c>
    </row>
    <row r="1871" spans="1:3">
      <c r="A1871" s="102">
        <v>42063</v>
      </c>
      <c r="B1871" s="106">
        <v>326</v>
      </c>
      <c r="C1871" s="106">
        <v>37067</v>
      </c>
    </row>
    <row r="1872" spans="1:3">
      <c r="A1872" s="102">
        <v>42064</v>
      </c>
      <c r="B1872" s="106">
        <v>326</v>
      </c>
      <c r="C1872" s="106">
        <v>37067</v>
      </c>
    </row>
    <row r="1873" spans="1:3">
      <c r="A1873" s="102">
        <v>42065</v>
      </c>
      <c r="B1873" s="106">
        <v>586</v>
      </c>
      <c r="C1873" s="106">
        <v>43855</v>
      </c>
    </row>
    <row r="1874" spans="1:3">
      <c r="A1874" s="102">
        <v>42066</v>
      </c>
      <c r="B1874" s="106">
        <v>47</v>
      </c>
      <c r="C1874" s="106">
        <v>45885</v>
      </c>
    </row>
    <row r="1875" spans="1:3">
      <c r="A1875" s="102">
        <v>42067</v>
      </c>
      <c r="B1875" s="106">
        <v>19</v>
      </c>
      <c r="C1875" s="106">
        <v>50195</v>
      </c>
    </row>
    <row r="1876" spans="1:3">
      <c r="A1876" s="102">
        <v>42068</v>
      </c>
      <c r="B1876" s="106">
        <v>63</v>
      </c>
      <c r="C1876" s="106">
        <v>48799</v>
      </c>
    </row>
    <row r="1877" spans="1:3">
      <c r="A1877" s="102">
        <v>42069</v>
      </c>
      <c r="B1877" s="106">
        <v>42</v>
      </c>
      <c r="C1877" s="106">
        <v>47462</v>
      </c>
    </row>
    <row r="1878" spans="1:3">
      <c r="A1878" s="102">
        <v>42070</v>
      </c>
      <c r="B1878" s="106">
        <v>42</v>
      </c>
      <c r="C1878" s="106">
        <v>47462</v>
      </c>
    </row>
    <row r="1879" spans="1:3">
      <c r="A1879" s="102">
        <v>42071</v>
      </c>
      <c r="B1879" s="106">
        <v>42</v>
      </c>
      <c r="C1879" s="106">
        <v>47462</v>
      </c>
    </row>
    <row r="1880" spans="1:3">
      <c r="A1880" s="102">
        <v>42072</v>
      </c>
      <c r="B1880" s="106">
        <v>6</v>
      </c>
      <c r="C1880" s="106">
        <v>49978</v>
      </c>
    </row>
    <row r="1881" spans="1:3">
      <c r="A1881" s="102">
        <v>42073</v>
      </c>
      <c r="B1881" s="106">
        <v>143</v>
      </c>
      <c r="C1881" s="106">
        <v>52789</v>
      </c>
    </row>
    <row r="1882" spans="1:3">
      <c r="A1882" s="102">
        <v>42074</v>
      </c>
      <c r="B1882" s="106">
        <v>67</v>
      </c>
      <c r="C1882" s="106">
        <v>46476</v>
      </c>
    </row>
    <row r="1883" spans="1:3">
      <c r="A1883" s="102">
        <v>42075</v>
      </c>
      <c r="B1883" s="106">
        <v>111</v>
      </c>
      <c r="C1883" s="106">
        <v>42851</v>
      </c>
    </row>
    <row r="1884" spans="1:3">
      <c r="A1884" s="102">
        <v>42076</v>
      </c>
      <c r="B1884" s="106">
        <v>483</v>
      </c>
      <c r="C1884" s="106">
        <v>45237</v>
      </c>
    </row>
    <row r="1885" spans="1:3">
      <c r="A1885" s="102">
        <v>42077</v>
      </c>
      <c r="B1885" s="106">
        <v>483</v>
      </c>
      <c r="C1885" s="106">
        <v>45237</v>
      </c>
    </row>
    <row r="1886" spans="1:3">
      <c r="A1886" s="102">
        <v>42078</v>
      </c>
      <c r="B1886" s="106">
        <v>483</v>
      </c>
      <c r="C1886" s="106">
        <v>45237</v>
      </c>
    </row>
    <row r="1887" spans="1:3">
      <c r="A1887" s="102">
        <v>42079</v>
      </c>
      <c r="B1887" s="106">
        <v>522</v>
      </c>
      <c r="C1887" s="106">
        <v>38969</v>
      </c>
    </row>
    <row r="1888" spans="1:3">
      <c r="A1888" s="102">
        <v>42080</v>
      </c>
      <c r="B1888" s="106">
        <v>89</v>
      </c>
      <c r="C1888" s="106">
        <v>40774</v>
      </c>
    </row>
    <row r="1889" spans="1:3">
      <c r="A1889" s="102">
        <v>42081</v>
      </c>
      <c r="B1889" s="106">
        <v>19</v>
      </c>
      <c r="C1889" s="106">
        <v>42872</v>
      </c>
    </row>
    <row r="1890" spans="1:3">
      <c r="A1890" s="102">
        <v>42082</v>
      </c>
      <c r="B1890" s="106">
        <v>216</v>
      </c>
      <c r="C1890" s="106">
        <v>41495</v>
      </c>
    </row>
    <row r="1891" spans="1:3">
      <c r="A1891" s="102">
        <v>42083</v>
      </c>
      <c r="B1891" s="106">
        <v>247</v>
      </c>
      <c r="C1891" s="106">
        <v>45653</v>
      </c>
    </row>
    <row r="1892" spans="1:3">
      <c r="A1892" s="102">
        <v>42084</v>
      </c>
      <c r="B1892" s="106">
        <v>247</v>
      </c>
      <c r="C1892" s="106">
        <v>45653</v>
      </c>
    </row>
    <row r="1893" spans="1:3">
      <c r="A1893" s="102">
        <v>42085</v>
      </c>
      <c r="B1893" s="106">
        <v>247</v>
      </c>
      <c r="C1893" s="106">
        <v>45653</v>
      </c>
    </row>
    <row r="1894" spans="1:3">
      <c r="A1894" s="102">
        <v>42086</v>
      </c>
      <c r="B1894" s="106">
        <v>294</v>
      </c>
      <c r="C1894" s="106">
        <v>49871</v>
      </c>
    </row>
    <row r="1895" spans="1:3">
      <c r="A1895" s="102">
        <v>42087</v>
      </c>
      <c r="B1895" s="106">
        <v>638</v>
      </c>
      <c r="C1895" s="106">
        <v>43267</v>
      </c>
    </row>
    <row r="1896" spans="1:3">
      <c r="A1896" s="102">
        <v>42088</v>
      </c>
      <c r="B1896" s="106">
        <v>134</v>
      </c>
      <c r="C1896" s="106">
        <v>52602</v>
      </c>
    </row>
    <row r="1897" spans="1:3">
      <c r="A1897" s="102">
        <v>42089</v>
      </c>
      <c r="B1897" s="106">
        <v>152</v>
      </c>
      <c r="C1897" s="106">
        <v>57292</v>
      </c>
    </row>
    <row r="1898" spans="1:3">
      <c r="A1898" s="102">
        <v>42090</v>
      </c>
      <c r="B1898" s="106">
        <v>234</v>
      </c>
      <c r="C1898" s="106">
        <v>63622</v>
      </c>
    </row>
    <row r="1899" spans="1:3">
      <c r="A1899" s="102">
        <v>42091</v>
      </c>
      <c r="B1899" s="106">
        <v>234</v>
      </c>
      <c r="C1899" s="106">
        <v>63622</v>
      </c>
    </row>
    <row r="1900" spans="1:3">
      <c r="A1900" s="102">
        <v>42092</v>
      </c>
      <c r="B1900" s="106">
        <v>234</v>
      </c>
      <c r="C1900" s="106">
        <v>63622</v>
      </c>
    </row>
    <row r="1901" spans="1:3">
      <c r="A1901" s="102">
        <v>42093</v>
      </c>
      <c r="B1901" s="106">
        <v>195</v>
      </c>
      <c r="C1901" s="106">
        <v>72041</v>
      </c>
    </row>
    <row r="1902" spans="1:3">
      <c r="A1902" s="102">
        <v>42094</v>
      </c>
      <c r="B1902" s="106">
        <v>281</v>
      </c>
      <c r="C1902" s="106">
        <v>62573</v>
      </c>
    </row>
    <row r="1903" spans="1:3">
      <c r="A1903" s="102">
        <v>42095</v>
      </c>
      <c r="B1903" s="106">
        <v>123</v>
      </c>
      <c r="C1903" s="106">
        <v>72555</v>
      </c>
    </row>
    <row r="1904" spans="1:3">
      <c r="A1904" s="102">
        <v>42096</v>
      </c>
      <c r="B1904" s="106">
        <v>101</v>
      </c>
      <c r="C1904" s="106">
        <v>85863</v>
      </c>
    </row>
    <row r="1905" spans="1:3">
      <c r="A1905" s="102">
        <v>42097</v>
      </c>
      <c r="B1905" s="106">
        <v>101</v>
      </c>
      <c r="C1905" s="106">
        <v>85863</v>
      </c>
    </row>
    <row r="1906" spans="1:3">
      <c r="A1906" s="102">
        <v>42098</v>
      </c>
      <c r="B1906" s="106">
        <v>101</v>
      </c>
      <c r="C1906" s="106">
        <v>85863</v>
      </c>
    </row>
    <row r="1907" spans="1:3">
      <c r="A1907" s="102">
        <v>42099</v>
      </c>
      <c r="B1907" s="106">
        <v>101</v>
      </c>
      <c r="C1907" s="106">
        <v>85863</v>
      </c>
    </row>
    <row r="1908" spans="1:3">
      <c r="A1908" s="102">
        <v>42100</v>
      </c>
      <c r="B1908" s="106">
        <v>101</v>
      </c>
      <c r="C1908" s="106">
        <v>85863</v>
      </c>
    </row>
    <row r="1909" spans="1:3">
      <c r="A1909" s="102">
        <v>42101</v>
      </c>
      <c r="B1909" s="106">
        <v>636</v>
      </c>
      <c r="C1909" s="106">
        <v>76925</v>
      </c>
    </row>
    <row r="1910" spans="1:3">
      <c r="A1910" s="102">
        <v>42102</v>
      </c>
      <c r="B1910" s="106">
        <v>18</v>
      </c>
      <c r="C1910" s="106">
        <v>77270</v>
      </c>
    </row>
    <row r="1911" spans="1:3">
      <c r="A1911" s="102">
        <v>42103</v>
      </c>
      <c r="B1911" s="106">
        <v>51</v>
      </c>
      <c r="C1911" s="106">
        <v>85316</v>
      </c>
    </row>
    <row r="1912" spans="1:3">
      <c r="A1912" s="102">
        <v>42104</v>
      </c>
      <c r="B1912" s="106">
        <v>83</v>
      </c>
      <c r="C1912" s="106">
        <v>87962</v>
      </c>
    </row>
    <row r="1913" spans="1:3">
      <c r="A1913" s="102">
        <v>42105</v>
      </c>
      <c r="B1913" s="106">
        <v>83</v>
      </c>
      <c r="C1913" s="106">
        <v>87962</v>
      </c>
    </row>
    <row r="1914" spans="1:3">
      <c r="A1914" s="102">
        <v>42106</v>
      </c>
      <c r="B1914" s="106">
        <v>83</v>
      </c>
      <c r="C1914" s="106">
        <v>87962</v>
      </c>
    </row>
    <row r="1915" spans="1:3">
      <c r="A1915" s="102">
        <v>42107</v>
      </c>
      <c r="B1915" s="106">
        <v>2</v>
      </c>
      <c r="C1915" s="106">
        <v>91253</v>
      </c>
    </row>
    <row r="1916" spans="1:3">
      <c r="A1916" s="102">
        <v>42108</v>
      </c>
      <c r="B1916" s="106">
        <v>24</v>
      </c>
      <c r="C1916" s="106">
        <v>92879</v>
      </c>
    </row>
    <row r="1917" spans="1:3">
      <c r="A1917" s="102">
        <v>42109</v>
      </c>
      <c r="B1917" s="106">
        <v>36</v>
      </c>
      <c r="C1917" s="106">
        <v>89358</v>
      </c>
    </row>
    <row r="1918" spans="1:3">
      <c r="A1918" s="102">
        <v>42110</v>
      </c>
      <c r="B1918" s="106">
        <v>33</v>
      </c>
      <c r="C1918" s="106">
        <v>85781</v>
      </c>
    </row>
    <row r="1919" spans="1:3">
      <c r="A1919" s="102">
        <v>42111</v>
      </c>
      <c r="B1919" s="106">
        <v>25</v>
      </c>
      <c r="C1919" s="106">
        <v>90608</v>
      </c>
    </row>
    <row r="1920" spans="1:3">
      <c r="A1920" s="102">
        <v>42112</v>
      </c>
      <c r="B1920" s="106">
        <v>25</v>
      </c>
      <c r="C1920" s="106">
        <v>90608</v>
      </c>
    </row>
    <row r="1921" spans="1:3">
      <c r="A1921" s="102">
        <v>42113</v>
      </c>
      <c r="B1921" s="106">
        <v>25</v>
      </c>
      <c r="C1921" s="106">
        <v>90608</v>
      </c>
    </row>
    <row r="1922" spans="1:3">
      <c r="A1922" s="102">
        <v>42114</v>
      </c>
      <c r="B1922" s="106">
        <v>141</v>
      </c>
      <c r="C1922" s="106">
        <v>93326</v>
      </c>
    </row>
    <row r="1923" spans="1:3">
      <c r="A1923" s="102">
        <v>42115</v>
      </c>
      <c r="B1923" s="106">
        <v>53</v>
      </c>
      <c r="C1923" s="106">
        <v>96731</v>
      </c>
    </row>
    <row r="1924" spans="1:3">
      <c r="A1924" s="102">
        <v>42116</v>
      </c>
      <c r="B1924" s="106">
        <v>18</v>
      </c>
      <c r="C1924" s="106">
        <v>84846</v>
      </c>
    </row>
    <row r="1925" spans="1:3">
      <c r="A1925" s="102">
        <v>42117</v>
      </c>
      <c r="B1925" s="106">
        <v>1</v>
      </c>
      <c r="C1925" s="106">
        <v>78214</v>
      </c>
    </row>
    <row r="1926" spans="1:3">
      <c r="A1926" s="102">
        <v>42118</v>
      </c>
      <c r="B1926" s="106">
        <v>31</v>
      </c>
      <c r="C1926" s="106">
        <v>86168</v>
      </c>
    </row>
    <row r="1927" spans="1:3">
      <c r="A1927" s="102">
        <v>42119</v>
      </c>
      <c r="B1927" s="106">
        <v>31</v>
      </c>
      <c r="C1927" s="106">
        <v>86168</v>
      </c>
    </row>
    <row r="1928" spans="1:3">
      <c r="A1928" s="102">
        <v>42120</v>
      </c>
      <c r="B1928" s="106">
        <v>31</v>
      </c>
      <c r="C1928" s="106">
        <v>86168</v>
      </c>
    </row>
    <row r="1929" spans="1:3">
      <c r="A1929" s="102">
        <v>42121</v>
      </c>
      <c r="B1929" s="106">
        <v>71</v>
      </c>
      <c r="C1929" s="106">
        <v>89059</v>
      </c>
    </row>
    <row r="1930" spans="1:3">
      <c r="A1930" s="102">
        <v>42122</v>
      </c>
      <c r="B1930" s="106">
        <v>93</v>
      </c>
      <c r="C1930" s="106">
        <v>85321</v>
      </c>
    </row>
    <row r="1931" spans="1:3">
      <c r="A1931" s="102">
        <v>42123</v>
      </c>
      <c r="B1931" s="106">
        <v>7</v>
      </c>
      <c r="C1931" s="106">
        <v>84344</v>
      </c>
    </row>
    <row r="1932" spans="1:3">
      <c r="A1932" s="102">
        <v>42124</v>
      </c>
      <c r="B1932" s="106">
        <v>41</v>
      </c>
      <c r="C1932" s="106">
        <v>107555</v>
      </c>
    </row>
    <row r="1933" spans="1:3">
      <c r="A1933" s="102">
        <v>42125</v>
      </c>
      <c r="B1933" s="106">
        <v>41</v>
      </c>
      <c r="C1933" s="106">
        <v>107555</v>
      </c>
    </row>
    <row r="1934" spans="1:3">
      <c r="A1934" s="102">
        <v>42126</v>
      </c>
      <c r="B1934" s="106">
        <v>41</v>
      </c>
      <c r="C1934" s="106">
        <v>107555</v>
      </c>
    </row>
    <row r="1935" spans="1:3">
      <c r="A1935" s="102">
        <v>42127</v>
      </c>
      <c r="B1935" s="106">
        <v>41</v>
      </c>
      <c r="C1935" s="106">
        <v>107555</v>
      </c>
    </row>
    <row r="1936" spans="1:3">
      <c r="A1936" s="102">
        <v>42128</v>
      </c>
      <c r="B1936" s="106">
        <v>113</v>
      </c>
      <c r="C1936" s="106">
        <v>100539</v>
      </c>
    </row>
    <row r="1937" spans="1:3">
      <c r="A1937" s="102">
        <v>42129</v>
      </c>
      <c r="B1937" s="106">
        <v>144</v>
      </c>
      <c r="C1937" s="106">
        <v>103383</v>
      </c>
    </row>
    <row r="1938" spans="1:3">
      <c r="A1938" s="102">
        <v>42130</v>
      </c>
      <c r="B1938" s="106">
        <v>81</v>
      </c>
      <c r="C1938" s="106">
        <v>123150</v>
      </c>
    </row>
    <row r="1939" spans="1:3">
      <c r="A1939" s="102">
        <v>42131</v>
      </c>
      <c r="B1939" s="106">
        <v>35</v>
      </c>
      <c r="C1939" s="106">
        <v>113484</v>
      </c>
    </row>
    <row r="1940" spans="1:3">
      <c r="A1940" s="102">
        <v>42132</v>
      </c>
      <c r="B1940" s="106">
        <v>54</v>
      </c>
      <c r="C1940" s="106">
        <v>108480</v>
      </c>
    </row>
    <row r="1941" spans="1:3">
      <c r="A1941" s="102">
        <v>42133</v>
      </c>
      <c r="B1941" s="106">
        <v>54</v>
      </c>
      <c r="C1941" s="106">
        <v>108480</v>
      </c>
    </row>
    <row r="1942" spans="1:3">
      <c r="A1942" s="102">
        <v>42134</v>
      </c>
      <c r="B1942" s="106">
        <v>54</v>
      </c>
      <c r="C1942" s="106">
        <v>108480</v>
      </c>
    </row>
    <row r="1943" spans="1:3">
      <c r="A1943" s="102">
        <v>42135</v>
      </c>
      <c r="B1943" s="106">
        <v>111</v>
      </c>
      <c r="C1943" s="106">
        <v>99921</v>
      </c>
    </row>
    <row r="1944" spans="1:3">
      <c r="A1944" s="102">
        <v>42136</v>
      </c>
      <c r="B1944" s="106">
        <v>141</v>
      </c>
      <c r="C1944" s="106">
        <v>107963</v>
      </c>
    </row>
    <row r="1945" spans="1:3">
      <c r="A1945" s="102">
        <v>42137</v>
      </c>
      <c r="B1945" s="106">
        <v>91</v>
      </c>
      <c r="C1945" s="106">
        <v>104531</v>
      </c>
    </row>
    <row r="1946" spans="1:3">
      <c r="A1946" s="102">
        <v>42138</v>
      </c>
      <c r="B1946" s="106">
        <v>106</v>
      </c>
      <c r="C1946" s="106">
        <v>100972</v>
      </c>
    </row>
    <row r="1947" spans="1:3">
      <c r="A1947" s="102">
        <v>42139</v>
      </c>
      <c r="B1947" s="106">
        <v>79</v>
      </c>
      <c r="C1947" s="106">
        <v>101050</v>
      </c>
    </row>
    <row r="1948" spans="1:3">
      <c r="A1948" s="102">
        <v>42140</v>
      </c>
      <c r="B1948" s="106">
        <v>79</v>
      </c>
      <c r="C1948" s="106">
        <v>101050</v>
      </c>
    </row>
    <row r="1949" spans="1:3">
      <c r="A1949" s="102">
        <v>42141</v>
      </c>
      <c r="B1949" s="106">
        <v>79</v>
      </c>
      <c r="C1949" s="106">
        <v>101050</v>
      </c>
    </row>
    <row r="1950" spans="1:3">
      <c r="A1950" s="102">
        <v>42142</v>
      </c>
      <c r="B1950" s="106">
        <v>38</v>
      </c>
      <c r="C1950" s="106">
        <v>104539</v>
      </c>
    </row>
    <row r="1951" spans="1:3">
      <c r="A1951" s="102">
        <v>42143</v>
      </c>
      <c r="B1951" s="106">
        <v>38</v>
      </c>
      <c r="C1951" s="106">
        <v>103068</v>
      </c>
    </row>
    <row r="1952" spans="1:3">
      <c r="A1952" s="102">
        <v>42144</v>
      </c>
      <c r="B1952" s="106">
        <v>33</v>
      </c>
      <c r="C1952" s="106">
        <v>102360</v>
      </c>
    </row>
    <row r="1953" spans="1:3">
      <c r="A1953" s="102">
        <v>42145</v>
      </c>
      <c r="B1953" s="106">
        <v>77</v>
      </c>
      <c r="C1953" s="106">
        <v>89538</v>
      </c>
    </row>
    <row r="1954" spans="1:3">
      <c r="A1954" s="102">
        <v>42146</v>
      </c>
      <c r="B1954" s="106">
        <v>82</v>
      </c>
      <c r="C1954" s="106">
        <v>92984</v>
      </c>
    </row>
    <row r="1955" spans="1:3">
      <c r="A1955" s="102">
        <v>42147</v>
      </c>
      <c r="B1955" s="106">
        <v>82</v>
      </c>
      <c r="C1955" s="106">
        <v>92984</v>
      </c>
    </row>
    <row r="1956" spans="1:3">
      <c r="A1956" s="102">
        <v>42148</v>
      </c>
      <c r="B1956" s="106">
        <v>82</v>
      </c>
      <c r="C1956" s="106">
        <v>92984</v>
      </c>
    </row>
    <row r="1957" spans="1:3">
      <c r="A1957" s="102">
        <v>42149</v>
      </c>
      <c r="B1957" s="106">
        <v>239</v>
      </c>
      <c r="C1957" s="106">
        <v>95231</v>
      </c>
    </row>
    <row r="1958" spans="1:3">
      <c r="A1958" s="102">
        <v>42150</v>
      </c>
      <c r="B1958" s="106">
        <v>46</v>
      </c>
      <c r="C1958" s="106">
        <v>92412</v>
      </c>
    </row>
    <row r="1959" spans="1:3">
      <c r="A1959" s="102">
        <v>42151</v>
      </c>
      <c r="B1959" s="106">
        <v>33</v>
      </c>
      <c r="C1959" s="106">
        <v>101261</v>
      </c>
    </row>
    <row r="1960" spans="1:3">
      <c r="A1960" s="102">
        <v>42152</v>
      </c>
      <c r="B1960" s="106">
        <v>59</v>
      </c>
      <c r="C1960" s="106">
        <v>105060</v>
      </c>
    </row>
    <row r="1961" spans="1:3">
      <c r="A1961" s="102">
        <v>42156</v>
      </c>
      <c r="B1961" s="106">
        <v>29</v>
      </c>
      <c r="C1961" s="106">
        <v>102515</v>
      </c>
    </row>
    <row r="1962" spans="1:3">
      <c r="A1962" s="102">
        <v>42157</v>
      </c>
      <c r="B1962" s="106">
        <v>146</v>
      </c>
      <c r="C1962" s="106">
        <v>108244</v>
      </c>
    </row>
    <row r="1963" spans="1:3">
      <c r="A1963" s="102">
        <v>42158</v>
      </c>
      <c r="B1963" s="106">
        <v>499</v>
      </c>
      <c r="C1963" s="106">
        <v>101521</v>
      </c>
    </row>
    <row r="1964" spans="1:3">
      <c r="A1964" s="102">
        <v>42159</v>
      </c>
      <c r="B1964" s="106">
        <v>435</v>
      </c>
      <c r="C1964" s="106">
        <v>97930</v>
      </c>
    </row>
    <row r="1965" spans="1:3">
      <c r="A1965" s="102">
        <v>42160</v>
      </c>
      <c r="B1965" s="106">
        <v>103</v>
      </c>
      <c r="C1965" s="106">
        <v>102065</v>
      </c>
    </row>
    <row r="1966" spans="1:3">
      <c r="A1966" s="102">
        <v>42161</v>
      </c>
      <c r="B1966" s="106">
        <v>103</v>
      </c>
      <c r="C1966" s="106">
        <v>102065</v>
      </c>
    </row>
    <row r="1967" spans="1:3">
      <c r="A1967" s="102">
        <v>42162</v>
      </c>
      <c r="B1967" s="106">
        <v>103</v>
      </c>
      <c r="C1967" s="106">
        <v>102065</v>
      </c>
    </row>
    <row r="1968" spans="1:3">
      <c r="A1968" s="102">
        <v>42163</v>
      </c>
      <c r="B1968" s="106">
        <v>229</v>
      </c>
      <c r="C1968" s="106">
        <v>101724</v>
      </c>
    </row>
    <row r="1969" spans="1:3">
      <c r="A1969" s="102">
        <v>42164</v>
      </c>
      <c r="B1969" s="106">
        <v>124</v>
      </c>
      <c r="C1969" s="106">
        <v>106250</v>
      </c>
    </row>
    <row r="1970" spans="1:3">
      <c r="A1970" s="102">
        <v>42165</v>
      </c>
      <c r="B1970" s="106">
        <v>83</v>
      </c>
      <c r="C1970" s="106">
        <v>84602</v>
      </c>
    </row>
    <row r="1971" spans="1:3">
      <c r="A1971" s="102">
        <v>42166</v>
      </c>
      <c r="B1971" s="106">
        <v>94</v>
      </c>
      <c r="C1971" s="106">
        <v>80245</v>
      </c>
    </row>
    <row r="1972" spans="1:3">
      <c r="A1972" s="102">
        <v>42167</v>
      </c>
      <c r="B1972" s="106">
        <v>59</v>
      </c>
      <c r="C1972" s="106">
        <v>96672</v>
      </c>
    </row>
    <row r="1973" spans="1:3">
      <c r="A1973" s="102">
        <v>42168</v>
      </c>
      <c r="B1973" s="106">
        <v>59</v>
      </c>
      <c r="C1973" s="106">
        <v>96672</v>
      </c>
    </row>
    <row r="1974" spans="1:3">
      <c r="A1974" s="102">
        <v>42169</v>
      </c>
      <c r="B1974" s="106">
        <v>59</v>
      </c>
      <c r="C1974" s="106">
        <v>96672</v>
      </c>
    </row>
    <row r="1975" spans="1:3">
      <c r="A1975" s="102">
        <v>42170</v>
      </c>
      <c r="B1975" s="106">
        <v>55</v>
      </c>
      <c r="C1975" s="106">
        <v>96204</v>
      </c>
    </row>
    <row r="1976" spans="1:3">
      <c r="A1976" s="102">
        <v>42171</v>
      </c>
      <c r="B1976" s="106">
        <v>51</v>
      </c>
      <c r="C1976" s="106">
        <v>87718</v>
      </c>
    </row>
    <row r="1977" spans="1:3">
      <c r="A1977" s="102">
        <v>42172</v>
      </c>
      <c r="B1977" s="106">
        <v>202</v>
      </c>
      <c r="C1977" s="106">
        <v>97273</v>
      </c>
    </row>
    <row r="1978" spans="1:3">
      <c r="A1978" s="102">
        <v>42173</v>
      </c>
      <c r="B1978" s="106">
        <v>236</v>
      </c>
      <c r="C1978" s="106">
        <v>76643</v>
      </c>
    </row>
    <row r="1979" spans="1:3">
      <c r="A1979" s="102">
        <v>42174</v>
      </c>
      <c r="B1979" s="106">
        <v>421</v>
      </c>
      <c r="C1979" s="106">
        <v>81405</v>
      </c>
    </row>
    <row r="1980" spans="1:3">
      <c r="A1980" s="102">
        <v>42175</v>
      </c>
      <c r="B1980" s="106">
        <v>421</v>
      </c>
      <c r="C1980" s="106">
        <v>81405</v>
      </c>
    </row>
    <row r="1981" spans="1:3">
      <c r="A1981" s="102">
        <v>42176</v>
      </c>
      <c r="B1981" s="106">
        <v>421</v>
      </c>
      <c r="C1981" s="106">
        <v>81405</v>
      </c>
    </row>
    <row r="1982" spans="1:3">
      <c r="A1982" s="102">
        <v>42177</v>
      </c>
      <c r="B1982" s="106">
        <v>351</v>
      </c>
      <c r="C1982" s="106">
        <v>81054</v>
      </c>
    </row>
    <row r="1983" spans="1:3">
      <c r="A1983" s="102">
        <v>42178</v>
      </c>
      <c r="B1983" s="106">
        <v>361</v>
      </c>
      <c r="C1983" s="106">
        <v>71044</v>
      </c>
    </row>
    <row r="1984" spans="1:3">
      <c r="A1984" s="102">
        <v>42179</v>
      </c>
      <c r="B1984" s="106">
        <v>545</v>
      </c>
      <c r="C1984" s="106">
        <v>85931</v>
      </c>
    </row>
    <row r="1985" spans="1:3">
      <c r="A1985" s="102">
        <v>42180</v>
      </c>
      <c r="B1985" s="106">
        <v>308</v>
      </c>
      <c r="C1985" s="106">
        <v>85527</v>
      </c>
    </row>
    <row r="1986" spans="1:3">
      <c r="A1986" s="102">
        <v>42181</v>
      </c>
      <c r="B1986" s="106">
        <v>267</v>
      </c>
      <c r="C1986" s="106">
        <v>86293</v>
      </c>
    </row>
    <row r="1987" spans="1:3">
      <c r="A1987" s="102">
        <v>42184</v>
      </c>
      <c r="B1987" s="106">
        <v>408</v>
      </c>
      <c r="C1987" s="106">
        <v>88957</v>
      </c>
    </row>
    <row r="1988" spans="1:3">
      <c r="A1988" s="102">
        <v>42186</v>
      </c>
      <c r="B1988" s="106">
        <v>492</v>
      </c>
      <c r="C1988" s="106">
        <v>101978</v>
      </c>
    </row>
    <row r="1989" spans="1:3">
      <c r="A1989" s="102">
        <v>42187</v>
      </c>
      <c r="B1989" s="106">
        <v>722</v>
      </c>
      <c r="C1989" s="106">
        <v>102700</v>
      </c>
    </row>
    <row r="1990" spans="1:3">
      <c r="A1990" s="102">
        <v>42188</v>
      </c>
      <c r="B1990" s="106">
        <v>597</v>
      </c>
      <c r="C1990" s="106">
        <v>112492</v>
      </c>
    </row>
    <row r="1991" spans="1:3">
      <c r="A1991" s="102">
        <v>42191</v>
      </c>
      <c r="B1991" s="106">
        <v>752</v>
      </c>
      <c r="C1991" s="106">
        <v>124690</v>
      </c>
    </row>
    <row r="1992" spans="1:3">
      <c r="A1992" s="102">
        <v>42192</v>
      </c>
      <c r="B1992" s="106">
        <v>1008</v>
      </c>
      <c r="C1992" s="106">
        <v>121492</v>
      </c>
    </row>
    <row r="1993" spans="1:3">
      <c r="A1993" s="102">
        <v>42193</v>
      </c>
      <c r="B1993" s="106">
        <v>306</v>
      </c>
      <c r="C1993" s="106">
        <v>126567</v>
      </c>
    </row>
    <row r="1994" spans="1:3">
      <c r="A1994" s="102">
        <v>42194</v>
      </c>
      <c r="B1994" s="106">
        <v>240</v>
      </c>
      <c r="C1994" s="106">
        <v>115457</v>
      </c>
    </row>
    <row r="1995" spans="1:3">
      <c r="A1995" s="102">
        <v>42195</v>
      </c>
      <c r="B1995" s="106">
        <v>219</v>
      </c>
      <c r="C1995" s="106">
        <v>123806</v>
      </c>
    </row>
    <row r="1996" spans="1:3">
      <c r="A1996" s="102">
        <v>42196</v>
      </c>
      <c r="B1996" s="106">
        <v>219</v>
      </c>
      <c r="C1996" s="106">
        <v>123806</v>
      </c>
    </row>
    <row r="1997" spans="1:3">
      <c r="A1997" s="102">
        <v>42197</v>
      </c>
      <c r="B1997" s="106">
        <v>219</v>
      </c>
      <c r="C1997" s="106">
        <v>123806</v>
      </c>
    </row>
    <row r="1998" spans="1:3">
      <c r="A1998" s="102">
        <v>42198</v>
      </c>
      <c r="B1998" s="106">
        <v>186</v>
      </c>
      <c r="C1998" s="106">
        <v>120157</v>
      </c>
    </row>
    <row r="1999" spans="1:3">
      <c r="A1999" s="102">
        <v>42199</v>
      </c>
      <c r="B1999" s="106">
        <v>196</v>
      </c>
      <c r="C1999" s="106">
        <v>119009</v>
      </c>
    </row>
    <row r="2000" spans="1:3">
      <c r="A2000" s="102">
        <v>42200</v>
      </c>
      <c r="B2000" s="106">
        <v>519</v>
      </c>
      <c r="C2000" s="106">
        <v>128004</v>
      </c>
    </row>
    <row r="2001" spans="1:3">
      <c r="A2001" s="102">
        <v>42201</v>
      </c>
      <c r="B2001" s="106">
        <v>242</v>
      </c>
      <c r="C2001" s="106">
        <v>123489</v>
      </c>
    </row>
    <row r="2002" spans="1:3">
      <c r="A2002" s="102">
        <v>42202</v>
      </c>
      <c r="B2002" s="106">
        <v>112</v>
      </c>
      <c r="C2002" s="106">
        <v>118588</v>
      </c>
    </row>
    <row r="2003" spans="1:3">
      <c r="A2003" s="102">
        <v>42203</v>
      </c>
      <c r="B2003" s="106">
        <v>112</v>
      </c>
      <c r="C2003" s="106">
        <v>118588</v>
      </c>
    </row>
    <row r="2004" spans="1:3">
      <c r="A2004" s="102">
        <v>42204</v>
      </c>
      <c r="B2004" s="106">
        <v>112</v>
      </c>
      <c r="C2004" s="106">
        <v>118588</v>
      </c>
    </row>
    <row r="2005" spans="1:3">
      <c r="A2005" s="102">
        <v>42205</v>
      </c>
      <c r="B2005" s="106">
        <v>141</v>
      </c>
      <c r="C2005" s="106">
        <v>124367</v>
      </c>
    </row>
    <row r="2006" spans="1:3">
      <c r="A2006" s="102">
        <v>42206</v>
      </c>
      <c r="B2006" s="106">
        <v>172</v>
      </c>
      <c r="C2006" s="106">
        <v>123304</v>
      </c>
    </row>
    <row r="2007" spans="1:3">
      <c r="A2007" s="102">
        <v>42207</v>
      </c>
      <c r="B2007" s="106">
        <v>45</v>
      </c>
      <c r="C2007" s="106">
        <v>103241</v>
      </c>
    </row>
    <row r="2008" spans="1:3">
      <c r="A2008" s="102">
        <v>42208</v>
      </c>
      <c r="B2008" s="106">
        <v>319</v>
      </c>
      <c r="C2008" s="106">
        <v>107686</v>
      </c>
    </row>
    <row r="2009" spans="1:3">
      <c r="A2009" s="102">
        <v>42209</v>
      </c>
      <c r="B2009" s="106">
        <v>329</v>
      </c>
      <c r="C2009" s="106">
        <v>117148</v>
      </c>
    </row>
    <row r="2010" spans="1:3">
      <c r="A2010" s="102">
        <v>42210</v>
      </c>
      <c r="B2010" s="106">
        <v>329</v>
      </c>
      <c r="C2010" s="106">
        <v>117148</v>
      </c>
    </row>
    <row r="2011" spans="1:3">
      <c r="A2011" s="102">
        <v>42211</v>
      </c>
      <c r="B2011" s="106">
        <v>329</v>
      </c>
      <c r="C2011" s="106">
        <v>117148</v>
      </c>
    </row>
    <row r="2012" spans="1:3">
      <c r="A2012" s="102">
        <v>42212</v>
      </c>
      <c r="B2012" s="106">
        <v>310</v>
      </c>
      <c r="C2012" s="106">
        <v>127555</v>
      </c>
    </row>
    <row r="2013" spans="1:3">
      <c r="A2013" s="102">
        <v>42213</v>
      </c>
      <c r="B2013" s="106">
        <v>765</v>
      </c>
      <c r="C2013" s="106">
        <v>127013</v>
      </c>
    </row>
    <row r="2014" spans="1:3">
      <c r="A2014" s="102">
        <v>42214</v>
      </c>
      <c r="B2014" s="106">
        <v>4</v>
      </c>
      <c r="C2014" s="106">
        <v>129402</v>
      </c>
    </row>
    <row r="2015" spans="1:3">
      <c r="A2015" s="102">
        <v>42215</v>
      </c>
      <c r="B2015" s="106">
        <v>190</v>
      </c>
      <c r="C2015" s="106">
        <v>126454</v>
      </c>
    </row>
    <row r="2016" spans="1:3">
      <c r="A2016" s="102">
        <v>42216</v>
      </c>
      <c r="B2016" s="106">
        <v>138</v>
      </c>
      <c r="C2016" s="106">
        <v>136985</v>
      </c>
    </row>
    <row r="2017" spans="1:3">
      <c r="A2017" s="102">
        <v>42217</v>
      </c>
      <c r="B2017" s="106">
        <v>138</v>
      </c>
      <c r="C2017" s="106">
        <v>136985</v>
      </c>
    </row>
    <row r="2018" spans="1:3">
      <c r="A2018" s="102">
        <v>42218</v>
      </c>
      <c r="B2018" s="106">
        <v>138</v>
      </c>
      <c r="C2018" s="106">
        <v>136985</v>
      </c>
    </row>
    <row r="2019" spans="1:3">
      <c r="A2019" s="102">
        <v>42219</v>
      </c>
      <c r="B2019" s="106">
        <v>92</v>
      </c>
      <c r="C2019" s="106">
        <v>143449</v>
      </c>
    </row>
    <row r="2020" spans="1:3">
      <c r="A2020" s="102">
        <v>42220</v>
      </c>
      <c r="B2020" s="106">
        <v>70</v>
      </c>
      <c r="C2020" s="106">
        <v>145558</v>
      </c>
    </row>
    <row r="2021" spans="1:3">
      <c r="A2021" s="102">
        <v>42221</v>
      </c>
      <c r="B2021" s="106">
        <v>95</v>
      </c>
      <c r="C2021" s="106">
        <v>130699</v>
      </c>
    </row>
    <row r="2022" spans="1:3">
      <c r="A2022" s="102">
        <v>42222</v>
      </c>
      <c r="B2022" s="106">
        <v>215</v>
      </c>
      <c r="C2022" s="106">
        <v>133464</v>
      </c>
    </row>
    <row r="2023" spans="1:3">
      <c r="A2023" s="102">
        <v>42223</v>
      </c>
      <c r="B2023" s="106">
        <v>204</v>
      </c>
      <c r="C2023" s="106">
        <v>137725</v>
      </c>
    </row>
    <row r="2024" spans="1:3">
      <c r="A2024" s="102">
        <v>42224</v>
      </c>
      <c r="B2024" s="106">
        <v>204</v>
      </c>
      <c r="C2024" s="106">
        <v>137725</v>
      </c>
    </row>
    <row r="2025" spans="1:3">
      <c r="A2025" s="102">
        <v>42225</v>
      </c>
      <c r="B2025" s="106">
        <v>204</v>
      </c>
      <c r="C2025" s="106">
        <v>137725</v>
      </c>
    </row>
    <row r="2026" spans="1:3">
      <c r="A2026" s="102">
        <v>42226</v>
      </c>
      <c r="B2026" s="106">
        <v>180</v>
      </c>
      <c r="C2026" s="106">
        <v>143667</v>
      </c>
    </row>
    <row r="2027" spans="1:3">
      <c r="A2027" s="102">
        <v>42227</v>
      </c>
      <c r="B2027" s="106">
        <v>193</v>
      </c>
      <c r="C2027" s="106">
        <v>137226</v>
      </c>
    </row>
    <row r="2028" spans="1:3">
      <c r="A2028" s="102">
        <v>42228</v>
      </c>
      <c r="B2028" s="106">
        <v>722</v>
      </c>
      <c r="C2028" s="106">
        <v>146088</v>
      </c>
    </row>
    <row r="2029" spans="1:3">
      <c r="A2029" s="102">
        <v>42229</v>
      </c>
      <c r="B2029" s="106">
        <v>702</v>
      </c>
      <c r="C2029" s="106">
        <v>157381</v>
      </c>
    </row>
    <row r="2030" spans="1:3">
      <c r="A2030" s="102">
        <v>42230</v>
      </c>
      <c r="B2030" s="106">
        <v>816</v>
      </c>
      <c r="C2030" s="106">
        <v>154226</v>
      </c>
    </row>
    <row r="2031" spans="1:3">
      <c r="A2031" s="102">
        <v>42231</v>
      </c>
      <c r="B2031" s="106">
        <v>816</v>
      </c>
      <c r="C2031" s="106">
        <v>154226</v>
      </c>
    </row>
    <row r="2032" spans="1:3">
      <c r="A2032" s="102">
        <v>42232</v>
      </c>
      <c r="B2032" s="106">
        <v>816</v>
      </c>
      <c r="C2032" s="106">
        <v>154226</v>
      </c>
    </row>
    <row r="2033" spans="1:3">
      <c r="A2033" s="102">
        <v>42233</v>
      </c>
      <c r="B2033" s="106">
        <v>817</v>
      </c>
      <c r="C2033" s="106">
        <v>154763</v>
      </c>
    </row>
    <row r="2034" spans="1:3">
      <c r="A2034" s="102">
        <v>42234</v>
      </c>
      <c r="B2034" s="106">
        <v>781</v>
      </c>
      <c r="C2034" s="106">
        <v>156760</v>
      </c>
    </row>
    <row r="2035" spans="1:3">
      <c r="A2035" s="102">
        <v>42235</v>
      </c>
      <c r="B2035" s="106">
        <v>155</v>
      </c>
      <c r="C2035" s="106">
        <v>156972</v>
      </c>
    </row>
    <row r="2036" spans="1:3">
      <c r="A2036" s="102">
        <v>42236</v>
      </c>
      <c r="B2036" s="106">
        <v>93</v>
      </c>
      <c r="C2036" s="106">
        <v>161028</v>
      </c>
    </row>
    <row r="2037" spans="1:3">
      <c r="A2037" s="102">
        <v>42237</v>
      </c>
      <c r="B2037" s="106">
        <v>101</v>
      </c>
      <c r="C2037" s="106">
        <v>169139</v>
      </c>
    </row>
    <row r="2038" spans="1:3">
      <c r="A2038" s="102">
        <v>42238</v>
      </c>
      <c r="B2038" s="106">
        <v>101</v>
      </c>
      <c r="C2038" s="106">
        <v>169139</v>
      </c>
    </row>
    <row r="2039" spans="1:3">
      <c r="A2039" s="102">
        <v>42239</v>
      </c>
      <c r="B2039" s="106">
        <v>101</v>
      </c>
      <c r="C2039" s="106">
        <v>169139</v>
      </c>
    </row>
    <row r="2040" spans="1:3">
      <c r="A2040" s="102">
        <v>42240</v>
      </c>
      <c r="B2040" s="106">
        <v>949</v>
      </c>
      <c r="C2040" s="106">
        <v>162313</v>
      </c>
    </row>
    <row r="2041" spans="1:3">
      <c r="A2041" s="102">
        <v>42241</v>
      </c>
      <c r="B2041" s="106">
        <v>102</v>
      </c>
      <c r="C2041" s="106">
        <v>157250</v>
      </c>
    </row>
    <row r="2042" spans="1:3">
      <c r="A2042" s="102">
        <v>42242</v>
      </c>
      <c r="B2042" s="106">
        <v>2598</v>
      </c>
      <c r="C2042" s="106">
        <v>158769</v>
      </c>
    </row>
    <row r="2043" spans="1:3">
      <c r="A2043" s="102">
        <v>42243</v>
      </c>
      <c r="B2043" s="106">
        <v>2500</v>
      </c>
      <c r="C2043" s="106">
        <v>159460</v>
      </c>
    </row>
    <row r="2044" spans="1:3">
      <c r="A2044" s="102">
        <v>42244</v>
      </c>
      <c r="B2044" s="106">
        <v>2161</v>
      </c>
      <c r="C2044" s="106">
        <v>154386</v>
      </c>
    </row>
    <row r="2045" spans="1:3">
      <c r="A2045" s="102">
        <v>42245</v>
      </c>
      <c r="B2045" s="106">
        <v>2161</v>
      </c>
      <c r="C2045" s="106">
        <v>154386</v>
      </c>
    </row>
    <row r="2046" spans="1:3">
      <c r="A2046" s="102">
        <v>42246</v>
      </c>
      <c r="B2046" s="106">
        <v>2161</v>
      </c>
      <c r="C2046" s="106">
        <v>154386</v>
      </c>
    </row>
    <row r="2047" spans="1:3">
      <c r="A2047" s="102">
        <v>42247</v>
      </c>
      <c r="B2047" s="106">
        <v>2737</v>
      </c>
      <c r="C2047" s="106">
        <v>175613</v>
      </c>
    </row>
    <row r="2048" spans="1:3">
      <c r="A2048" s="102">
        <v>42248</v>
      </c>
      <c r="B2048" s="106">
        <v>2132</v>
      </c>
      <c r="C2048" s="106">
        <v>166400</v>
      </c>
    </row>
    <row r="2049" spans="1:3">
      <c r="A2049" s="102">
        <v>42249</v>
      </c>
      <c r="B2049" s="106">
        <v>80</v>
      </c>
      <c r="C2049" s="106">
        <v>168355</v>
      </c>
    </row>
    <row r="2050" spans="1:3">
      <c r="A2050" s="102">
        <v>42250</v>
      </c>
      <c r="B2050" s="106">
        <v>135</v>
      </c>
      <c r="C2050" s="106">
        <v>168797</v>
      </c>
    </row>
    <row r="2051" spans="1:3">
      <c r="A2051" s="102">
        <v>42251</v>
      </c>
      <c r="B2051" s="106">
        <v>88</v>
      </c>
      <c r="C2051" s="106">
        <v>166997</v>
      </c>
    </row>
    <row r="2052" spans="1:3">
      <c r="A2052" s="102">
        <v>42252</v>
      </c>
      <c r="B2052" s="106">
        <v>88</v>
      </c>
      <c r="C2052" s="106">
        <v>166997</v>
      </c>
    </row>
    <row r="2053" spans="1:3">
      <c r="A2053" s="102">
        <v>42253</v>
      </c>
      <c r="B2053" s="106">
        <v>88</v>
      </c>
      <c r="C2053" s="106">
        <v>166997</v>
      </c>
    </row>
    <row r="2054" spans="1:3">
      <c r="A2054" s="102">
        <v>42254</v>
      </c>
      <c r="B2054" s="106">
        <v>101</v>
      </c>
      <c r="C2054" s="106">
        <v>168466</v>
      </c>
    </row>
    <row r="2055" spans="1:3">
      <c r="A2055" s="102">
        <v>42255</v>
      </c>
      <c r="B2055" s="106">
        <v>117</v>
      </c>
      <c r="C2055" s="106">
        <v>170452</v>
      </c>
    </row>
    <row r="2056" spans="1:3">
      <c r="A2056" s="102">
        <v>42256</v>
      </c>
      <c r="B2056" s="106">
        <v>204</v>
      </c>
      <c r="C2056" s="106">
        <v>147425</v>
      </c>
    </row>
    <row r="2057" spans="1:3">
      <c r="A2057" s="102">
        <v>42257</v>
      </c>
      <c r="B2057" s="106">
        <v>21</v>
      </c>
      <c r="C2057" s="106">
        <v>148390</v>
      </c>
    </row>
    <row r="2058" spans="1:3">
      <c r="A2058" s="102">
        <v>42258</v>
      </c>
      <c r="B2058" s="106">
        <v>61</v>
      </c>
      <c r="C2058" s="106">
        <v>159910</v>
      </c>
    </row>
    <row r="2059" spans="1:3">
      <c r="A2059" s="102">
        <v>42259</v>
      </c>
      <c r="B2059" s="106">
        <v>61</v>
      </c>
      <c r="C2059" s="106">
        <v>159910</v>
      </c>
    </row>
    <row r="2060" spans="1:3">
      <c r="A2060" s="102">
        <v>42260</v>
      </c>
      <c r="B2060" s="106">
        <v>61</v>
      </c>
      <c r="C2060" s="106">
        <v>159910</v>
      </c>
    </row>
    <row r="2061" spans="1:3">
      <c r="A2061" s="102">
        <v>42261</v>
      </c>
      <c r="B2061" s="106">
        <v>44</v>
      </c>
      <c r="C2061" s="106">
        <v>162357</v>
      </c>
    </row>
    <row r="2062" spans="1:3">
      <c r="A2062" s="102">
        <v>42262</v>
      </c>
      <c r="B2062" s="106">
        <v>435</v>
      </c>
      <c r="C2062" s="106">
        <v>160726</v>
      </c>
    </row>
    <row r="2063" spans="1:3">
      <c r="A2063" s="102">
        <v>42263</v>
      </c>
      <c r="B2063" s="106">
        <v>72</v>
      </c>
      <c r="C2063" s="106">
        <v>154687</v>
      </c>
    </row>
    <row r="2064" spans="1:3">
      <c r="A2064" s="102">
        <v>42264</v>
      </c>
      <c r="B2064" s="106">
        <v>59</v>
      </c>
      <c r="C2064" s="106">
        <v>142954</v>
      </c>
    </row>
    <row r="2065" spans="1:3">
      <c r="A2065" s="102">
        <v>42265</v>
      </c>
      <c r="B2065" s="106">
        <v>63</v>
      </c>
      <c r="C2065" s="106">
        <v>139525</v>
      </c>
    </row>
    <row r="2066" spans="1:3">
      <c r="A2066" s="102">
        <v>42266</v>
      </c>
      <c r="B2066" s="106">
        <v>63</v>
      </c>
      <c r="C2066" s="106">
        <v>139525</v>
      </c>
    </row>
    <row r="2067" spans="1:3">
      <c r="A2067" s="102">
        <v>42267</v>
      </c>
      <c r="B2067" s="106">
        <v>63</v>
      </c>
      <c r="C2067" s="106">
        <v>139525</v>
      </c>
    </row>
    <row r="2068" spans="1:3">
      <c r="A2068" s="102">
        <v>42268</v>
      </c>
      <c r="B2068" s="106">
        <v>53</v>
      </c>
      <c r="C2068" s="106">
        <v>143315</v>
      </c>
    </row>
    <row r="2069" spans="1:3">
      <c r="A2069" s="102">
        <v>42269</v>
      </c>
      <c r="B2069" s="106">
        <v>64</v>
      </c>
      <c r="C2069" s="106">
        <v>136602</v>
      </c>
    </row>
    <row r="2070" spans="1:3">
      <c r="A2070" s="102">
        <v>42270</v>
      </c>
      <c r="B2070" s="106">
        <v>31</v>
      </c>
      <c r="C2070" s="106">
        <v>122661</v>
      </c>
    </row>
    <row r="2071" spans="1:3">
      <c r="A2071" s="102">
        <v>42271</v>
      </c>
      <c r="B2071" s="106">
        <v>32</v>
      </c>
      <c r="C2071" s="106">
        <v>123197</v>
      </c>
    </row>
    <row r="2072" spans="1:3">
      <c r="A2072" s="102">
        <v>42272</v>
      </c>
      <c r="B2072" s="106">
        <v>25</v>
      </c>
      <c r="C2072" s="106">
        <v>122988</v>
      </c>
    </row>
    <row r="2073" spans="1:3">
      <c r="A2073" s="102">
        <v>42273</v>
      </c>
      <c r="B2073" s="106">
        <v>25</v>
      </c>
      <c r="C2073" s="106">
        <v>122988</v>
      </c>
    </row>
    <row r="2074" spans="1:3">
      <c r="A2074" s="102">
        <v>42274</v>
      </c>
      <c r="B2074" s="106">
        <v>25</v>
      </c>
      <c r="C2074" s="106">
        <v>122988</v>
      </c>
    </row>
    <row r="2075" spans="1:3">
      <c r="A2075" s="102">
        <v>42275</v>
      </c>
      <c r="B2075" s="106">
        <v>68</v>
      </c>
      <c r="C2075" s="106">
        <v>120085</v>
      </c>
    </row>
    <row r="2076" spans="1:3">
      <c r="A2076" s="102">
        <v>42276</v>
      </c>
      <c r="B2076" s="106">
        <v>54</v>
      </c>
      <c r="C2076" s="106">
        <v>123446</v>
      </c>
    </row>
    <row r="2077" spans="1:3">
      <c r="A2077" s="102">
        <v>42277</v>
      </c>
      <c r="B2077" s="106">
        <v>231</v>
      </c>
      <c r="C2077" s="106">
        <v>146986</v>
      </c>
    </row>
    <row r="2078" spans="1:3">
      <c r="A2078" s="102">
        <v>42278</v>
      </c>
      <c r="B2078" s="106">
        <v>89</v>
      </c>
      <c r="C2078" s="106">
        <v>143324</v>
      </c>
    </row>
    <row r="2079" spans="1:3">
      <c r="A2079" s="102">
        <v>42279</v>
      </c>
      <c r="B2079" s="106">
        <v>640</v>
      </c>
      <c r="C2079" s="106">
        <v>148326</v>
      </c>
    </row>
    <row r="2080" spans="1:3">
      <c r="A2080" s="102">
        <v>42280</v>
      </c>
      <c r="B2080" s="106">
        <v>640</v>
      </c>
      <c r="C2080" s="106">
        <v>148326</v>
      </c>
    </row>
    <row r="2081" spans="1:3">
      <c r="A2081" s="102">
        <v>42281</v>
      </c>
      <c r="B2081" s="106">
        <v>640</v>
      </c>
      <c r="C2081" s="106">
        <v>148326</v>
      </c>
    </row>
    <row r="2082" spans="1:3">
      <c r="A2082" s="102">
        <v>42282</v>
      </c>
      <c r="B2082" s="106">
        <v>642</v>
      </c>
      <c r="C2082" s="106">
        <v>162147</v>
      </c>
    </row>
    <row r="2083" spans="1:3">
      <c r="A2083" s="102">
        <v>42283</v>
      </c>
      <c r="B2083" s="106">
        <v>633</v>
      </c>
      <c r="C2083" s="106">
        <v>155258</v>
      </c>
    </row>
    <row r="2084" spans="1:3">
      <c r="A2084" s="102">
        <v>42284</v>
      </c>
      <c r="B2084" s="106">
        <v>17</v>
      </c>
      <c r="C2084" s="106">
        <v>163958</v>
      </c>
    </row>
    <row r="2085" spans="1:3">
      <c r="A2085" s="102">
        <v>42285</v>
      </c>
      <c r="B2085" s="106">
        <v>37</v>
      </c>
      <c r="C2085" s="106">
        <v>163969</v>
      </c>
    </row>
    <row r="2086" spans="1:3">
      <c r="A2086" s="102">
        <v>42286</v>
      </c>
      <c r="B2086" s="106">
        <v>10</v>
      </c>
      <c r="C2086" s="106">
        <v>171805</v>
      </c>
    </row>
    <row r="2087" spans="1:3">
      <c r="A2087" s="102">
        <v>42287</v>
      </c>
      <c r="B2087" s="106">
        <v>10</v>
      </c>
      <c r="C2087" s="106">
        <v>171805</v>
      </c>
    </row>
    <row r="2088" spans="1:3">
      <c r="A2088" s="102">
        <v>42288</v>
      </c>
      <c r="B2088" s="106">
        <v>10</v>
      </c>
      <c r="C2088" s="106">
        <v>171805</v>
      </c>
    </row>
    <row r="2089" spans="1:3">
      <c r="A2089" s="102">
        <v>42289</v>
      </c>
      <c r="B2089" s="106">
        <v>0</v>
      </c>
      <c r="C2089" s="106">
        <v>174718</v>
      </c>
    </row>
    <row r="2090" spans="1:3">
      <c r="A2090" s="102">
        <v>42290</v>
      </c>
      <c r="B2090" s="106">
        <v>30</v>
      </c>
      <c r="C2090" s="106">
        <v>167244</v>
      </c>
    </row>
    <row r="2091" spans="1:3">
      <c r="A2091" s="102">
        <v>42291</v>
      </c>
      <c r="B2091" s="106">
        <v>10</v>
      </c>
      <c r="C2091" s="106">
        <v>165525</v>
      </c>
    </row>
    <row r="2092" spans="1:3">
      <c r="A2092" s="102">
        <v>42292</v>
      </c>
      <c r="B2092" s="106">
        <v>30</v>
      </c>
      <c r="C2092" s="106">
        <v>156623</v>
      </c>
    </row>
    <row r="2093" spans="1:3">
      <c r="A2093" s="102">
        <v>42293</v>
      </c>
      <c r="B2093" s="106">
        <v>56</v>
      </c>
      <c r="C2093" s="106">
        <v>159062</v>
      </c>
    </row>
    <row r="2094" spans="1:3">
      <c r="A2094" s="102">
        <v>42294</v>
      </c>
      <c r="B2094" s="106">
        <v>56</v>
      </c>
      <c r="C2094" s="106">
        <v>159062</v>
      </c>
    </row>
    <row r="2095" spans="1:3">
      <c r="A2095" s="102">
        <v>42295</v>
      </c>
      <c r="B2095" s="106">
        <v>56</v>
      </c>
      <c r="C2095" s="106">
        <v>159062</v>
      </c>
    </row>
    <row r="2096" spans="1:3">
      <c r="A2096" s="102">
        <v>42296</v>
      </c>
      <c r="B2096" s="106">
        <v>32</v>
      </c>
      <c r="C2096" s="106">
        <v>156838</v>
      </c>
    </row>
    <row r="2097" spans="1:3">
      <c r="A2097" s="102">
        <v>42297</v>
      </c>
      <c r="B2097" s="106">
        <v>36</v>
      </c>
      <c r="C2097" s="106">
        <v>156557</v>
      </c>
    </row>
    <row r="2098" spans="1:3">
      <c r="A2098" s="102">
        <v>42298</v>
      </c>
      <c r="B2098" s="106">
        <v>47</v>
      </c>
      <c r="C2098" s="106">
        <v>160057</v>
      </c>
    </row>
    <row r="2099" spans="1:3">
      <c r="A2099" s="102">
        <v>42299</v>
      </c>
      <c r="B2099" s="106">
        <v>134</v>
      </c>
      <c r="C2099" s="106">
        <v>168365</v>
      </c>
    </row>
    <row r="2100" spans="1:3">
      <c r="A2100" s="102">
        <v>42300</v>
      </c>
      <c r="B2100" s="106">
        <v>65</v>
      </c>
      <c r="C2100" s="106">
        <v>169391</v>
      </c>
    </row>
    <row r="2101" spans="1:3">
      <c r="A2101" s="102">
        <v>42301</v>
      </c>
      <c r="B2101" s="106">
        <v>65</v>
      </c>
      <c r="C2101" s="106">
        <v>169391</v>
      </c>
    </row>
    <row r="2102" spans="1:3">
      <c r="A2102" s="102">
        <v>42302</v>
      </c>
      <c r="B2102" s="106">
        <v>65</v>
      </c>
      <c r="C2102" s="106">
        <v>169391</v>
      </c>
    </row>
    <row r="2103" spans="1:3">
      <c r="A2103" s="102">
        <v>42303</v>
      </c>
      <c r="B2103" s="106">
        <v>47</v>
      </c>
      <c r="C2103" s="106">
        <v>167481</v>
      </c>
    </row>
    <row r="2104" spans="1:3">
      <c r="A2104" s="102">
        <v>42304</v>
      </c>
      <c r="B2104" s="106">
        <v>133</v>
      </c>
      <c r="C2104" s="106">
        <v>178065</v>
      </c>
    </row>
    <row r="2105" spans="1:3">
      <c r="A2105" s="102">
        <v>42305</v>
      </c>
      <c r="B2105" s="106">
        <v>421</v>
      </c>
      <c r="C2105" s="106">
        <v>164575</v>
      </c>
    </row>
    <row r="2106" spans="1:3">
      <c r="A2106" s="102">
        <v>42306</v>
      </c>
      <c r="B2106" s="106">
        <v>105</v>
      </c>
      <c r="C2106" s="106">
        <v>143127</v>
      </c>
    </row>
    <row r="2107" spans="1:3">
      <c r="A2107" s="102">
        <v>42307</v>
      </c>
      <c r="B2107" s="106">
        <v>41</v>
      </c>
      <c r="C2107" s="106">
        <v>157834</v>
      </c>
    </row>
    <row r="2108" spans="1:3">
      <c r="A2108" s="102">
        <v>42308</v>
      </c>
      <c r="B2108" s="106">
        <v>41</v>
      </c>
      <c r="C2108" s="106">
        <v>157834</v>
      </c>
    </row>
    <row r="2109" spans="1:3">
      <c r="A2109" s="102">
        <v>42309</v>
      </c>
      <c r="B2109" s="106">
        <v>41</v>
      </c>
      <c r="C2109" s="106">
        <v>157834</v>
      </c>
    </row>
    <row r="2110" spans="1:3">
      <c r="A2110" s="102">
        <v>42310</v>
      </c>
      <c r="B2110" s="106">
        <v>1</v>
      </c>
      <c r="C2110" s="106">
        <v>170651</v>
      </c>
    </row>
    <row r="2111" spans="1:3">
      <c r="A2111" s="102">
        <v>42311</v>
      </c>
      <c r="B2111" s="106">
        <v>22</v>
      </c>
      <c r="C2111" s="106">
        <v>174764</v>
      </c>
    </row>
    <row r="2112" spans="1:3">
      <c r="A2112" s="102">
        <v>42312</v>
      </c>
      <c r="B2112" s="106">
        <v>22</v>
      </c>
      <c r="C2112" s="106">
        <v>181471</v>
      </c>
    </row>
    <row r="2113" spans="1:3">
      <c r="A2113" s="102">
        <v>42313</v>
      </c>
      <c r="B2113" s="106">
        <v>15</v>
      </c>
      <c r="C2113" s="106">
        <v>178065</v>
      </c>
    </row>
    <row r="2114" spans="1:3">
      <c r="A2114" s="102">
        <v>42314</v>
      </c>
      <c r="B2114" s="106">
        <v>21</v>
      </c>
      <c r="C2114" s="106">
        <v>186983</v>
      </c>
    </row>
    <row r="2115" spans="1:3">
      <c r="A2115" s="102">
        <v>42315</v>
      </c>
      <c r="B2115" s="106">
        <v>21</v>
      </c>
      <c r="C2115" s="106">
        <v>186983</v>
      </c>
    </row>
    <row r="2116" spans="1:3">
      <c r="A2116" s="102">
        <v>42316</v>
      </c>
      <c r="B2116" s="106">
        <v>21</v>
      </c>
      <c r="C2116" s="106">
        <v>186983</v>
      </c>
    </row>
    <row r="2117" spans="1:3">
      <c r="A2117" s="102">
        <v>42317</v>
      </c>
      <c r="B2117" s="106">
        <v>79</v>
      </c>
      <c r="C2117" s="106">
        <v>179902</v>
      </c>
    </row>
    <row r="2118" spans="1:3">
      <c r="A2118" s="102">
        <v>42318</v>
      </c>
      <c r="B2118" s="106">
        <v>80</v>
      </c>
      <c r="C2118" s="106">
        <v>177830</v>
      </c>
    </row>
    <row r="2119" spans="1:3">
      <c r="A2119" s="102">
        <v>42319</v>
      </c>
      <c r="B2119" s="106">
        <v>57</v>
      </c>
      <c r="C2119" s="106">
        <v>182511</v>
      </c>
    </row>
    <row r="2120" spans="1:3">
      <c r="A2120" s="102">
        <v>42320</v>
      </c>
      <c r="B2120" s="106">
        <v>24</v>
      </c>
      <c r="C2120" s="106">
        <v>191355</v>
      </c>
    </row>
    <row r="2121" spans="1:3">
      <c r="A2121" s="102">
        <v>42321</v>
      </c>
      <c r="B2121" s="106">
        <v>33</v>
      </c>
      <c r="C2121" s="106">
        <v>187599</v>
      </c>
    </row>
    <row r="2122" spans="1:3">
      <c r="A2122" s="102">
        <v>42322</v>
      </c>
      <c r="B2122" s="106">
        <v>33</v>
      </c>
      <c r="C2122" s="106">
        <v>187599</v>
      </c>
    </row>
    <row r="2123" spans="1:3">
      <c r="A2123" s="102">
        <v>42323</v>
      </c>
      <c r="B2123" s="106">
        <v>33</v>
      </c>
      <c r="C2123" s="106">
        <v>187599</v>
      </c>
    </row>
    <row r="2124" spans="1:3">
      <c r="A2124" s="102">
        <v>42324</v>
      </c>
      <c r="B2124" s="106">
        <v>43</v>
      </c>
      <c r="C2124" s="106">
        <v>177646</v>
      </c>
    </row>
    <row r="2125" spans="1:3">
      <c r="A2125" s="102">
        <v>42325</v>
      </c>
      <c r="B2125" s="106">
        <v>0</v>
      </c>
      <c r="C2125" s="106">
        <v>185510</v>
      </c>
    </row>
    <row r="2126" spans="1:3">
      <c r="A2126" s="102">
        <v>42326</v>
      </c>
      <c r="B2126" s="106">
        <v>1</v>
      </c>
      <c r="C2126" s="106">
        <v>179300</v>
      </c>
    </row>
    <row r="2127" spans="1:3">
      <c r="A2127" s="102">
        <v>42327</v>
      </c>
      <c r="B2127" s="106">
        <v>0</v>
      </c>
      <c r="C2127" s="106">
        <v>173386</v>
      </c>
    </row>
    <row r="2128" spans="1:3">
      <c r="A2128" s="102">
        <v>42328</v>
      </c>
      <c r="B2128" s="106">
        <v>18</v>
      </c>
      <c r="C2128" s="106">
        <v>170211</v>
      </c>
    </row>
    <row r="2129" spans="1:3">
      <c r="A2129" s="102">
        <v>42329</v>
      </c>
      <c r="B2129" s="106">
        <v>18</v>
      </c>
      <c r="C2129" s="106">
        <v>170211</v>
      </c>
    </row>
    <row r="2130" spans="1:3">
      <c r="A2130" s="102">
        <v>42330</v>
      </c>
      <c r="B2130" s="106">
        <v>18</v>
      </c>
      <c r="C2130" s="106">
        <v>170211</v>
      </c>
    </row>
    <row r="2131" spans="1:3">
      <c r="A2131" s="102">
        <v>42331</v>
      </c>
      <c r="B2131" s="106">
        <v>0</v>
      </c>
      <c r="C2131" s="106">
        <v>167692</v>
      </c>
    </row>
    <row r="2132" spans="1:3">
      <c r="A2132" s="102">
        <v>42332</v>
      </c>
      <c r="B2132" s="106">
        <v>7</v>
      </c>
      <c r="C2132" s="106">
        <v>160848</v>
      </c>
    </row>
    <row r="2133" spans="1:3">
      <c r="A2133" s="102">
        <v>42333</v>
      </c>
      <c r="B2133" s="106">
        <v>54</v>
      </c>
      <c r="C2133" s="106">
        <v>157854</v>
      </c>
    </row>
    <row r="2134" spans="1:3">
      <c r="A2134" s="102">
        <v>42334</v>
      </c>
      <c r="B2134" s="106">
        <v>38</v>
      </c>
      <c r="C2134" s="106">
        <v>149051</v>
      </c>
    </row>
    <row r="2135" spans="1:3">
      <c r="A2135" s="102">
        <v>42335</v>
      </c>
      <c r="B2135" s="106">
        <v>67</v>
      </c>
      <c r="C2135" s="106">
        <v>132708</v>
      </c>
    </row>
    <row r="2136" spans="1:3">
      <c r="A2136" s="102">
        <v>42336</v>
      </c>
      <c r="B2136" s="106">
        <v>67</v>
      </c>
      <c r="C2136" s="106">
        <v>132708</v>
      </c>
    </row>
    <row r="2137" spans="1:3">
      <c r="A2137" s="102">
        <v>42337</v>
      </c>
      <c r="B2137" s="106">
        <v>67</v>
      </c>
      <c r="C2137" s="106">
        <v>132708</v>
      </c>
    </row>
    <row r="2138" spans="1:3">
      <c r="A2138" s="102">
        <v>42338</v>
      </c>
      <c r="B2138" s="106">
        <v>555</v>
      </c>
      <c r="C2138" s="106">
        <v>176906</v>
      </c>
    </row>
    <row r="2139" spans="1:3">
      <c r="A2139" s="102">
        <v>42339</v>
      </c>
      <c r="B2139" s="106">
        <v>41</v>
      </c>
      <c r="C2139" s="106">
        <v>181044</v>
      </c>
    </row>
    <row r="2140" spans="1:3">
      <c r="A2140" s="102">
        <v>42340</v>
      </c>
      <c r="B2140" s="106">
        <v>415</v>
      </c>
      <c r="C2140" s="106">
        <v>184573</v>
      </c>
    </row>
    <row r="2141" spans="1:3">
      <c r="A2141" s="102">
        <v>42341</v>
      </c>
      <c r="B2141" s="106">
        <v>252</v>
      </c>
      <c r="C2141" s="106">
        <v>184237</v>
      </c>
    </row>
    <row r="2142" spans="1:3">
      <c r="A2142" s="102">
        <v>42342</v>
      </c>
      <c r="B2142" s="106">
        <v>208</v>
      </c>
      <c r="C2142" s="106">
        <v>177335</v>
      </c>
    </row>
    <row r="2143" spans="1:3">
      <c r="A2143" s="102">
        <v>42343</v>
      </c>
      <c r="B2143" s="106">
        <v>208</v>
      </c>
      <c r="C2143" s="106">
        <v>177335</v>
      </c>
    </row>
    <row r="2144" spans="1:3">
      <c r="A2144" s="102">
        <v>42344</v>
      </c>
      <c r="B2144" s="106">
        <v>208</v>
      </c>
      <c r="C2144" s="106">
        <v>177335</v>
      </c>
    </row>
    <row r="2145" spans="1:3">
      <c r="A2145" s="102">
        <v>42345</v>
      </c>
      <c r="B2145" s="106">
        <v>195</v>
      </c>
      <c r="C2145" s="106">
        <v>162457</v>
      </c>
    </row>
    <row r="2146" spans="1:3">
      <c r="A2146" s="102">
        <v>42346</v>
      </c>
      <c r="B2146" s="106">
        <v>193</v>
      </c>
      <c r="C2146" s="106">
        <v>167494</v>
      </c>
    </row>
    <row r="2147" spans="1:3">
      <c r="A2147" s="102">
        <v>42347</v>
      </c>
      <c r="B2147" s="106">
        <v>37</v>
      </c>
      <c r="C2147" s="106">
        <v>151131</v>
      </c>
    </row>
    <row r="2148" spans="1:3">
      <c r="A2148" s="102">
        <v>42348</v>
      </c>
      <c r="B2148" s="106">
        <v>140</v>
      </c>
      <c r="C2148" s="106">
        <v>159766</v>
      </c>
    </row>
    <row r="2149" spans="1:3">
      <c r="A2149" s="102">
        <v>42349</v>
      </c>
      <c r="B2149" s="106">
        <v>151</v>
      </c>
      <c r="C2149" s="106">
        <v>173966</v>
      </c>
    </row>
    <row r="2150" spans="1:3">
      <c r="A2150" s="102">
        <v>42350</v>
      </c>
      <c r="B2150" s="106">
        <v>151</v>
      </c>
      <c r="C2150" s="106">
        <v>173966</v>
      </c>
    </row>
    <row r="2151" spans="1:3">
      <c r="A2151" s="102">
        <v>42351</v>
      </c>
      <c r="B2151" s="106">
        <v>151</v>
      </c>
      <c r="C2151" s="106">
        <v>173966</v>
      </c>
    </row>
    <row r="2152" spans="1:3">
      <c r="A2152" s="102">
        <v>42352</v>
      </c>
      <c r="B2152" s="106">
        <v>265</v>
      </c>
      <c r="C2152" s="106">
        <v>164504</v>
      </c>
    </row>
    <row r="2153" spans="1:3">
      <c r="A2153" s="102">
        <v>42353</v>
      </c>
      <c r="B2153" s="106">
        <v>297</v>
      </c>
      <c r="C2153" s="106">
        <v>176535</v>
      </c>
    </row>
    <row r="2154" spans="1:3">
      <c r="A2154" s="102">
        <v>42354</v>
      </c>
      <c r="B2154" s="106">
        <v>237</v>
      </c>
      <c r="C2154" s="106">
        <v>179908</v>
      </c>
    </row>
    <row r="2155" spans="1:3">
      <c r="A2155" s="102">
        <v>42355</v>
      </c>
      <c r="B2155" s="106">
        <v>107</v>
      </c>
      <c r="C2155" s="106">
        <v>187206</v>
      </c>
    </row>
    <row r="2156" spans="1:3">
      <c r="A2156" s="102">
        <v>42356</v>
      </c>
      <c r="B2156" s="106">
        <v>60</v>
      </c>
      <c r="C2156" s="106">
        <v>188823</v>
      </c>
    </row>
    <row r="2157" spans="1:3">
      <c r="A2157" s="102">
        <v>42359</v>
      </c>
      <c r="B2157" s="106">
        <v>1365</v>
      </c>
      <c r="C2157" s="106">
        <v>180101</v>
      </c>
    </row>
    <row r="2158" spans="1:3">
      <c r="A2158" s="102">
        <v>42360</v>
      </c>
      <c r="B2158" s="106">
        <v>1415</v>
      </c>
      <c r="C2158" s="106">
        <v>183992</v>
      </c>
    </row>
    <row r="2159" spans="1:3">
      <c r="A2159" s="102">
        <v>42361</v>
      </c>
      <c r="B2159" s="106">
        <v>0</v>
      </c>
      <c r="C2159" s="106">
        <v>174079</v>
      </c>
    </row>
    <row r="2160" spans="1:3">
      <c r="A2160" s="102">
        <v>42362</v>
      </c>
      <c r="B2160" s="106">
        <v>37</v>
      </c>
      <c r="C2160" s="106">
        <v>177054</v>
      </c>
    </row>
    <row r="2161" spans="1:3">
      <c r="A2161" s="102">
        <v>42363</v>
      </c>
      <c r="B2161" s="106">
        <v>37</v>
      </c>
      <c r="C2161" s="106">
        <v>177054</v>
      </c>
    </row>
    <row r="2162" spans="1:3">
      <c r="A2162" s="102">
        <v>42364</v>
      </c>
      <c r="B2162" s="106">
        <v>37</v>
      </c>
      <c r="C2162" s="106">
        <v>177054</v>
      </c>
    </row>
    <row r="2163" spans="1:3">
      <c r="A2163" s="102">
        <v>42365</v>
      </c>
      <c r="B2163" s="106">
        <v>37</v>
      </c>
      <c r="C2163" s="106">
        <v>177054</v>
      </c>
    </row>
    <row r="2164" spans="1:3">
      <c r="A2164" s="102">
        <v>42366</v>
      </c>
      <c r="B2164" s="106">
        <v>118</v>
      </c>
      <c r="C2164" s="106">
        <v>176020</v>
      </c>
    </row>
    <row r="2165" spans="1:3">
      <c r="A2165" s="102">
        <v>42367</v>
      </c>
      <c r="B2165" s="106">
        <v>228</v>
      </c>
      <c r="C2165" s="106">
        <v>183284</v>
      </c>
    </row>
    <row r="2166" spans="1:3">
      <c r="A2166" s="102">
        <v>42368</v>
      </c>
      <c r="B2166" s="106">
        <v>426</v>
      </c>
      <c r="C2166" s="106">
        <v>196121</v>
      </c>
    </row>
    <row r="2167" spans="1:3">
      <c r="A2167" s="102">
        <v>42369</v>
      </c>
      <c r="B2167" s="106">
        <v>468</v>
      </c>
      <c r="C2167" s="106">
        <v>212415</v>
      </c>
    </row>
    <row r="2168" spans="1:3">
      <c r="A2168" s="102">
        <v>42370</v>
      </c>
      <c r="B2168" s="106">
        <v>468</v>
      </c>
      <c r="C2168" s="106">
        <v>212415</v>
      </c>
    </row>
    <row r="2169" spans="1:3">
      <c r="A2169" s="102">
        <v>42371</v>
      </c>
      <c r="B2169" s="106">
        <v>468</v>
      </c>
      <c r="C2169" s="106">
        <v>212415</v>
      </c>
    </row>
    <row r="2170" spans="1:3">
      <c r="A2170" s="102">
        <v>42372</v>
      </c>
      <c r="B2170" s="106">
        <v>468</v>
      </c>
      <c r="C2170" s="106">
        <v>212415</v>
      </c>
    </row>
    <row r="2171" spans="1:3">
      <c r="A2171" s="102">
        <v>42373</v>
      </c>
      <c r="B2171" s="106">
        <v>162</v>
      </c>
      <c r="C2171" s="106">
        <v>199138</v>
      </c>
    </row>
    <row r="2172" spans="1:3">
      <c r="A2172" s="102">
        <v>42374</v>
      </c>
      <c r="B2172" s="106">
        <v>106</v>
      </c>
      <c r="C2172" s="106">
        <v>211014</v>
      </c>
    </row>
    <row r="2173" spans="1:3">
      <c r="A2173" s="102">
        <v>42375</v>
      </c>
      <c r="B2173" s="106">
        <v>13</v>
      </c>
      <c r="C2173" s="106">
        <v>212639</v>
      </c>
    </row>
    <row r="2174" spans="1:3">
      <c r="A2174" s="102">
        <v>42376</v>
      </c>
      <c r="B2174" s="106">
        <v>40</v>
      </c>
      <c r="C2174" s="106">
        <v>217005</v>
      </c>
    </row>
    <row r="2175" spans="1:3">
      <c r="A2175" s="102">
        <v>42377</v>
      </c>
      <c r="B2175" s="106">
        <v>2</v>
      </c>
      <c r="C2175" s="106">
        <v>210126</v>
      </c>
    </row>
    <row r="2176" spans="1:3">
      <c r="A2176" s="102">
        <v>42378</v>
      </c>
      <c r="B2176" s="106">
        <v>2</v>
      </c>
      <c r="C2176" s="106">
        <v>210126</v>
      </c>
    </row>
    <row r="2177" spans="1:3">
      <c r="A2177" s="102">
        <v>42379</v>
      </c>
      <c r="B2177" s="106">
        <v>2</v>
      </c>
      <c r="C2177" s="106">
        <v>210126</v>
      </c>
    </row>
    <row r="2178" spans="1:3">
      <c r="A2178" s="102">
        <v>42380</v>
      </c>
      <c r="B2178" s="106">
        <v>142</v>
      </c>
      <c r="C2178" s="106">
        <v>217914</v>
      </c>
    </row>
    <row r="2179" spans="1:3">
      <c r="A2179" s="102">
        <v>42381</v>
      </c>
      <c r="B2179" s="106">
        <v>45</v>
      </c>
      <c r="C2179" s="106">
        <v>219120</v>
      </c>
    </row>
    <row r="2180" spans="1:3">
      <c r="A2180" s="102">
        <v>42382</v>
      </c>
      <c r="B2180" s="106">
        <v>13</v>
      </c>
      <c r="C2180" s="106">
        <v>231746</v>
      </c>
    </row>
    <row r="2181" spans="1:3">
      <c r="A2181" s="102">
        <v>42383</v>
      </c>
      <c r="B2181" s="106">
        <v>53</v>
      </c>
      <c r="C2181" s="106">
        <v>220530</v>
      </c>
    </row>
    <row r="2182" spans="1:3">
      <c r="A2182" s="102">
        <v>42384</v>
      </c>
      <c r="B2182" s="106">
        <v>67</v>
      </c>
      <c r="C2182" s="106">
        <v>215962</v>
      </c>
    </row>
    <row r="2183" spans="1:3">
      <c r="A2183" s="102">
        <v>42385</v>
      </c>
      <c r="B2183" s="106">
        <v>67</v>
      </c>
      <c r="C2183" s="106">
        <v>215962</v>
      </c>
    </row>
    <row r="2184" spans="1:3">
      <c r="A2184" s="102">
        <v>42386</v>
      </c>
      <c r="B2184" s="106">
        <v>67</v>
      </c>
      <c r="C2184" s="106">
        <v>215962</v>
      </c>
    </row>
    <row r="2185" spans="1:3">
      <c r="A2185" s="102">
        <v>42387</v>
      </c>
      <c r="B2185" s="106">
        <v>54</v>
      </c>
      <c r="C2185" s="106">
        <v>220807</v>
      </c>
    </row>
    <row r="2186" spans="1:3">
      <c r="A2186" s="102">
        <v>42388</v>
      </c>
      <c r="B2186" s="106">
        <v>100</v>
      </c>
      <c r="C2186" s="106">
        <v>216144</v>
      </c>
    </row>
    <row r="2187" spans="1:3">
      <c r="A2187" s="102">
        <v>42389</v>
      </c>
      <c r="B2187" s="106">
        <v>46</v>
      </c>
      <c r="C2187" s="106">
        <v>212038</v>
      </c>
    </row>
    <row r="2188" spans="1:3">
      <c r="A2188" s="102">
        <v>42390</v>
      </c>
      <c r="B2188" s="106">
        <v>31</v>
      </c>
      <c r="C2188" s="106">
        <v>200085</v>
      </c>
    </row>
    <row r="2189" spans="1:3">
      <c r="A2189" s="102">
        <v>42391</v>
      </c>
      <c r="B2189" s="106">
        <v>22</v>
      </c>
      <c r="C2189" s="106">
        <v>207420</v>
      </c>
    </row>
    <row r="2190" spans="1:3">
      <c r="A2190" s="102">
        <v>42392</v>
      </c>
      <c r="B2190" s="106">
        <v>22</v>
      </c>
      <c r="C2190" s="106">
        <v>207420</v>
      </c>
    </row>
    <row r="2191" spans="1:3">
      <c r="A2191" s="102">
        <v>42393</v>
      </c>
      <c r="B2191" s="106">
        <v>22</v>
      </c>
      <c r="C2191" s="106">
        <v>207420</v>
      </c>
    </row>
    <row r="2192" spans="1:3">
      <c r="A2192" s="102">
        <v>42394</v>
      </c>
      <c r="B2192" s="106">
        <v>188</v>
      </c>
      <c r="C2192" s="106">
        <v>193986</v>
      </c>
    </row>
    <row r="2193" spans="1:3">
      <c r="A2193" s="102">
        <v>42395</v>
      </c>
      <c r="B2193" s="106">
        <v>4</v>
      </c>
      <c r="C2193" s="106">
        <v>200231</v>
      </c>
    </row>
    <row r="2194" spans="1:3">
      <c r="A2194" s="102">
        <v>42396</v>
      </c>
      <c r="B2194" s="106">
        <v>10</v>
      </c>
      <c r="C2194" s="106">
        <v>176079</v>
      </c>
    </row>
    <row r="2195" spans="1:3">
      <c r="A2195" s="102">
        <v>42397</v>
      </c>
      <c r="B2195" s="106">
        <v>77</v>
      </c>
      <c r="C2195" s="106">
        <v>187926</v>
      </c>
    </row>
    <row r="2196" spans="1:3">
      <c r="A2196" s="102">
        <v>42398</v>
      </c>
      <c r="B2196" s="106">
        <v>94</v>
      </c>
      <c r="C2196" s="106">
        <v>221820</v>
      </c>
    </row>
    <row r="2197" spans="1:3">
      <c r="A2197" s="102">
        <v>42399</v>
      </c>
      <c r="B2197" s="106">
        <v>94</v>
      </c>
      <c r="C2197" s="106">
        <v>221820</v>
      </c>
    </row>
    <row r="2198" spans="1:3">
      <c r="A2198" s="102">
        <v>42400</v>
      </c>
      <c r="B2198" s="106">
        <v>94</v>
      </c>
      <c r="C2198" s="106">
        <v>221820</v>
      </c>
    </row>
    <row r="2199" spans="1:3">
      <c r="A2199" s="102">
        <v>42401</v>
      </c>
      <c r="B2199" s="106">
        <v>33</v>
      </c>
      <c r="C2199" s="106">
        <v>224388</v>
      </c>
    </row>
    <row r="2200" spans="1:3">
      <c r="A2200" s="102">
        <v>42402</v>
      </c>
      <c r="B2200" s="106">
        <v>5</v>
      </c>
      <c r="C2200" s="106">
        <v>222697</v>
      </c>
    </row>
    <row r="2201" spans="1:3">
      <c r="A2201" s="102">
        <v>42403</v>
      </c>
      <c r="B2201" s="106">
        <v>266</v>
      </c>
      <c r="C2201" s="106">
        <v>216228</v>
      </c>
    </row>
    <row r="2202" spans="1:3">
      <c r="A2202" s="102">
        <v>42404</v>
      </c>
      <c r="B2202" s="106">
        <v>29</v>
      </c>
      <c r="C2202" s="106">
        <v>231476</v>
      </c>
    </row>
    <row r="2203" spans="1:3">
      <c r="A2203" s="102">
        <v>42405</v>
      </c>
      <c r="B2203" s="106">
        <v>20</v>
      </c>
      <c r="C2203" s="106">
        <v>232740</v>
      </c>
    </row>
    <row r="2204" spans="1:3">
      <c r="A2204" s="102">
        <v>42406</v>
      </c>
      <c r="B2204" s="106">
        <v>20</v>
      </c>
      <c r="C2204" s="106">
        <v>232740</v>
      </c>
    </row>
    <row r="2205" spans="1:3">
      <c r="A2205" s="102">
        <v>42407</v>
      </c>
      <c r="B2205" s="106">
        <v>20</v>
      </c>
      <c r="C2205" s="106">
        <v>232740</v>
      </c>
    </row>
    <row r="2206" spans="1:3">
      <c r="A2206" s="102">
        <v>42408</v>
      </c>
      <c r="B2206" s="106">
        <v>91</v>
      </c>
      <c r="C2206" s="106">
        <v>215277</v>
      </c>
    </row>
    <row r="2207" spans="1:3">
      <c r="A2207" s="102">
        <v>42409</v>
      </c>
      <c r="B2207" s="106">
        <v>127</v>
      </c>
      <c r="C2207" s="106">
        <v>224014</v>
      </c>
    </row>
    <row r="2208" spans="1:3">
      <c r="A2208" s="102">
        <v>42410</v>
      </c>
      <c r="B2208" s="106">
        <v>31</v>
      </c>
      <c r="C2208" s="106">
        <v>224451</v>
      </c>
    </row>
    <row r="2209" spans="1:3">
      <c r="A2209" s="102">
        <v>42411</v>
      </c>
      <c r="B2209" s="106">
        <v>42</v>
      </c>
      <c r="C2209" s="106">
        <v>232074</v>
      </c>
    </row>
    <row r="2210" spans="1:3">
      <c r="A2210" s="102">
        <v>42412</v>
      </c>
      <c r="B2210" s="106">
        <v>24</v>
      </c>
      <c r="C2210" s="106">
        <v>219673</v>
      </c>
    </row>
    <row r="2211" spans="1:3">
      <c r="A2211" s="102">
        <v>42413</v>
      </c>
      <c r="B2211" s="106">
        <v>24</v>
      </c>
      <c r="C2211" s="106">
        <v>219673</v>
      </c>
    </row>
    <row r="2212" spans="1:3">
      <c r="A2212" s="102">
        <v>42414</v>
      </c>
      <c r="B2212" s="106">
        <v>24</v>
      </c>
      <c r="C2212" s="106">
        <v>219673</v>
      </c>
    </row>
    <row r="2213" spans="1:3">
      <c r="A2213" s="102">
        <v>42415</v>
      </c>
      <c r="B2213" s="106">
        <v>125</v>
      </c>
      <c r="C2213" s="106">
        <v>223871</v>
      </c>
    </row>
    <row r="2214" spans="1:3">
      <c r="A2214" s="102">
        <v>42416</v>
      </c>
      <c r="B2214" s="106">
        <v>64</v>
      </c>
      <c r="C2214" s="106">
        <v>224853</v>
      </c>
    </row>
    <row r="2215" spans="1:3">
      <c r="A2215" s="102">
        <v>42417</v>
      </c>
      <c r="B2215" s="106">
        <v>50</v>
      </c>
      <c r="C2215" s="106">
        <v>229263</v>
      </c>
    </row>
    <row r="2216" spans="1:3">
      <c r="A2216" s="102">
        <v>42418</v>
      </c>
      <c r="B2216" s="106">
        <v>23</v>
      </c>
      <c r="C2216" s="106">
        <v>222858</v>
      </c>
    </row>
    <row r="2217" spans="1:3">
      <c r="A2217" s="102">
        <v>42419</v>
      </c>
      <c r="B2217" s="106">
        <v>54</v>
      </c>
      <c r="C2217" s="106">
        <v>223432</v>
      </c>
    </row>
    <row r="2218" spans="1:3">
      <c r="A2218" s="102">
        <v>42420</v>
      </c>
      <c r="B2218" s="106">
        <v>54</v>
      </c>
      <c r="C2218" s="106">
        <v>223432</v>
      </c>
    </row>
    <row r="2219" spans="1:3">
      <c r="A2219" s="102">
        <v>42421</v>
      </c>
      <c r="B2219" s="106">
        <v>54</v>
      </c>
      <c r="C2219" s="106">
        <v>223432</v>
      </c>
    </row>
    <row r="2220" spans="1:3">
      <c r="A2220" s="102">
        <v>42422</v>
      </c>
      <c r="B2220" s="106">
        <v>54</v>
      </c>
      <c r="C2220" s="106">
        <v>210085</v>
      </c>
    </row>
    <row r="2221" spans="1:3">
      <c r="A2221" s="102">
        <v>42423</v>
      </c>
      <c r="B2221" s="106">
        <v>60</v>
      </c>
      <c r="C2221" s="106">
        <v>206108</v>
      </c>
    </row>
    <row r="2222" spans="1:3">
      <c r="A2222" s="102">
        <v>42424</v>
      </c>
      <c r="B2222" s="106">
        <v>5</v>
      </c>
      <c r="C2222" s="106">
        <v>211148</v>
      </c>
    </row>
    <row r="2223" spans="1:3">
      <c r="A2223" s="102">
        <v>42425</v>
      </c>
      <c r="B2223" s="106">
        <v>36</v>
      </c>
      <c r="C2223" s="106">
        <v>217515</v>
      </c>
    </row>
    <row r="2224" spans="1:3">
      <c r="A2224" s="102">
        <v>42426</v>
      </c>
      <c r="B2224" s="106">
        <v>112</v>
      </c>
      <c r="C2224" s="106">
        <v>222375</v>
      </c>
    </row>
    <row r="2225" spans="1:3">
      <c r="A2225" s="102">
        <v>42427</v>
      </c>
      <c r="B2225" s="106">
        <v>112</v>
      </c>
      <c r="C2225" s="106">
        <v>222375</v>
      </c>
    </row>
    <row r="2226" spans="1:3">
      <c r="A2226" s="102">
        <v>42428</v>
      </c>
      <c r="B2226" s="106">
        <v>112</v>
      </c>
      <c r="C2226" s="106">
        <v>222375</v>
      </c>
    </row>
    <row r="2227" spans="1:3">
      <c r="A2227" s="102">
        <v>42429</v>
      </c>
      <c r="B2227" s="106">
        <v>587</v>
      </c>
      <c r="C2227" s="106">
        <v>251278</v>
      </c>
    </row>
    <row r="2228" spans="1:3">
      <c r="A2228" s="102">
        <v>42430</v>
      </c>
      <c r="B2228" s="106">
        <v>177</v>
      </c>
      <c r="C2228" s="106">
        <v>251916</v>
      </c>
    </row>
    <row r="2229" spans="1:3">
      <c r="A2229" s="102">
        <v>42431</v>
      </c>
      <c r="B2229" s="106">
        <v>40</v>
      </c>
      <c r="C2229" s="106">
        <v>245411</v>
      </c>
    </row>
    <row r="2230" spans="1:3">
      <c r="A2230" s="102">
        <v>42432</v>
      </c>
      <c r="B2230" s="106">
        <v>52</v>
      </c>
      <c r="C2230" s="106">
        <v>247325</v>
      </c>
    </row>
    <row r="2231" spans="1:3">
      <c r="A2231" s="102">
        <v>42433</v>
      </c>
      <c r="B2231" s="106">
        <v>2</v>
      </c>
      <c r="C2231" s="106">
        <v>246815</v>
      </c>
    </row>
    <row r="2232" spans="1:3">
      <c r="A2232" s="102">
        <v>42434</v>
      </c>
      <c r="B2232" s="106">
        <v>2</v>
      </c>
      <c r="C2232" s="106">
        <v>246815</v>
      </c>
    </row>
    <row r="2233" spans="1:3">
      <c r="A2233" s="102">
        <v>42435</v>
      </c>
      <c r="B2233" s="106">
        <v>2</v>
      </c>
      <c r="C2233" s="106">
        <v>246815</v>
      </c>
    </row>
    <row r="2234" spans="1:3">
      <c r="A2234" s="102">
        <v>42436</v>
      </c>
      <c r="B2234" s="106">
        <v>50</v>
      </c>
      <c r="C2234" s="106">
        <v>249563</v>
      </c>
    </row>
    <row r="2235" spans="1:3">
      <c r="A2235" s="102">
        <v>42437</v>
      </c>
      <c r="B2235" s="106">
        <v>22</v>
      </c>
      <c r="C2235" s="106">
        <v>245175</v>
      </c>
    </row>
    <row r="2236" spans="1:3">
      <c r="A2236" s="102">
        <v>42438</v>
      </c>
      <c r="B2236" s="106">
        <v>30</v>
      </c>
      <c r="C2236" s="106">
        <v>251105</v>
      </c>
    </row>
    <row r="2237" spans="1:3">
      <c r="A2237" s="102">
        <v>42439</v>
      </c>
      <c r="B2237" s="106">
        <v>10</v>
      </c>
      <c r="C2237" s="106">
        <v>248652</v>
      </c>
    </row>
    <row r="2238" spans="1:3">
      <c r="A2238" s="102">
        <v>42440</v>
      </c>
      <c r="B2238" s="106">
        <v>24</v>
      </c>
      <c r="C2238" s="106">
        <v>262201</v>
      </c>
    </row>
    <row r="2239" spans="1:3">
      <c r="A2239" s="102">
        <v>42441</v>
      </c>
      <c r="B2239" s="106">
        <v>24</v>
      </c>
      <c r="C2239" s="106">
        <v>262201</v>
      </c>
    </row>
    <row r="2240" spans="1:3">
      <c r="A2240" s="102">
        <v>42442</v>
      </c>
      <c r="B2240" s="106">
        <v>24</v>
      </c>
      <c r="C2240" s="106">
        <v>262201</v>
      </c>
    </row>
    <row r="2241" spans="1:3">
      <c r="A2241" s="102">
        <v>42443</v>
      </c>
      <c r="B2241" s="106">
        <v>11</v>
      </c>
      <c r="C2241" s="106">
        <v>261516</v>
      </c>
    </row>
    <row r="2242" spans="1:3">
      <c r="A2242" s="102">
        <v>42444</v>
      </c>
      <c r="B2242" s="106">
        <v>80</v>
      </c>
      <c r="C2242" s="106">
        <v>255323</v>
      </c>
    </row>
    <row r="2243" spans="1:3">
      <c r="A2243" s="102">
        <v>42445</v>
      </c>
      <c r="B2243" s="106">
        <v>32</v>
      </c>
      <c r="C2243" s="106">
        <v>216640</v>
      </c>
    </row>
    <row r="2244" spans="1:3">
      <c r="A2244" s="102">
        <v>42446</v>
      </c>
      <c r="B2244" s="106">
        <v>2</v>
      </c>
      <c r="C2244" s="106">
        <v>240207</v>
      </c>
    </row>
    <row r="2245" spans="1:3">
      <c r="A2245" s="102">
        <v>42447</v>
      </c>
      <c r="B2245" s="106">
        <v>24</v>
      </c>
      <c r="C2245" s="106">
        <v>246734</v>
      </c>
    </row>
    <row r="2246" spans="1:3">
      <c r="A2246" s="102">
        <v>42448</v>
      </c>
      <c r="B2246" s="106">
        <v>24</v>
      </c>
      <c r="C2246" s="106">
        <v>246734</v>
      </c>
    </row>
    <row r="2247" spans="1:3">
      <c r="A2247" s="102">
        <v>42449</v>
      </c>
      <c r="B2247" s="106">
        <v>24</v>
      </c>
      <c r="C2247" s="106">
        <v>246734</v>
      </c>
    </row>
    <row r="2248" spans="1:3">
      <c r="A2248" s="102">
        <v>42450</v>
      </c>
      <c r="B2248" s="106">
        <v>306</v>
      </c>
      <c r="C2248" s="106">
        <v>246308</v>
      </c>
    </row>
    <row r="2249" spans="1:3">
      <c r="A2249" s="102">
        <v>42451</v>
      </c>
      <c r="B2249" s="106">
        <v>53</v>
      </c>
      <c r="C2249" s="106">
        <v>233243</v>
      </c>
    </row>
    <row r="2250" spans="1:3">
      <c r="A2250" s="102">
        <v>42452</v>
      </c>
      <c r="B2250" s="106">
        <v>79</v>
      </c>
      <c r="C2250" s="106">
        <v>228564</v>
      </c>
    </row>
    <row r="2251" spans="1:3">
      <c r="A2251" s="102">
        <v>42453</v>
      </c>
      <c r="B2251" s="106">
        <v>51</v>
      </c>
      <c r="C2251" s="106">
        <v>225140</v>
      </c>
    </row>
    <row r="2252" spans="1:3">
      <c r="A2252" s="102">
        <v>42454</v>
      </c>
      <c r="B2252" s="106">
        <v>51</v>
      </c>
      <c r="C2252" s="106">
        <v>225140</v>
      </c>
    </row>
    <row r="2253" spans="1:3">
      <c r="A2253" s="102">
        <v>42455</v>
      </c>
      <c r="B2253" s="106">
        <v>51</v>
      </c>
      <c r="C2253" s="106">
        <v>225140</v>
      </c>
    </row>
    <row r="2254" spans="1:3">
      <c r="A2254" s="102">
        <v>42456</v>
      </c>
      <c r="B2254" s="106">
        <v>51</v>
      </c>
      <c r="C2254" s="106">
        <v>225140</v>
      </c>
    </row>
    <row r="2255" spans="1:3">
      <c r="A2255" s="102">
        <v>42457</v>
      </c>
      <c r="B2255" s="106">
        <v>51</v>
      </c>
      <c r="C2255" s="106">
        <v>225140</v>
      </c>
    </row>
    <row r="2256" spans="1:3">
      <c r="A2256" s="102">
        <v>42458</v>
      </c>
      <c r="B2256" s="106">
        <v>47</v>
      </c>
      <c r="C2256" s="106">
        <v>238833</v>
      </c>
    </row>
    <row r="2257" spans="1:3">
      <c r="A2257" s="102">
        <v>42459</v>
      </c>
      <c r="B2257" s="106">
        <v>69</v>
      </c>
      <c r="C2257" s="106">
        <v>252879</v>
      </c>
    </row>
    <row r="2258" spans="1:3">
      <c r="A2258" s="102">
        <v>42460</v>
      </c>
      <c r="B2258" s="106">
        <v>50</v>
      </c>
      <c r="C2258" s="106">
        <v>253833</v>
      </c>
    </row>
    <row r="2259" spans="1:3">
      <c r="A2259" s="102">
        <v>42461</v>
      </c>
      <c r="B2259" s="106">
        <v>5</v>
      </c>
      <c r="C2259" s="106">
        <v>268396</v>
      </c>
    </row>
    <row r="2260" spans="1:3">
      <c r="A2260" s="102">
        <v>42462</v>
      </c>
      <c r="B2260" s="106">
        <v>5</v>
      </c>
      <c r="C2260" s="106">
        <v>268396</v>
      </c>
    </row>
    <row r="2261" spans="1:3">
      <c r="A2261" s="102">
        <v>42463</v>
      </c>
      <c r="B2261" s="106">
        <v>5</v>
      </c>
      <c r="C2261" s="106">
        <v>268396</v>
      </c>
    </row>
    <row r="2262" spans="1:3">
      <c r="A2262" s="102">
        <v>42464</v>
      </c>
      <c r="B2262" s="106">
        <v>20</v>
      </c>
      <c r="C2262" s="106">
        <v>267116</v>
      </c>
    </row>
    <row r="2263" spans="1:3">
      <c r="A2263" s="102">
        <v>42465</v>
      </c>
      <c r="B2263" s="106">
        <v>38</v>
      </c>
      <c r="C2263" s="106">
        <v>275115</v>
      </c>
    </row>
    <row r="2264" spans="1:3">
      <c r="A2264" s="102">
        <v>42466</v>
      </c>
      <c r="B2264" s="106">
        <v>9</v>
      </c>
      <c r="C2264" s="106">
        <v>268745</v>
      </c>
    </row>
    <row r="2265" spans="1:3">
      <c r="A2265" s="102">
        <v>42467</v>
      </c>
      <c r="B2265" s="106">
        <v>158</v>
      </c>
      <c r="C2265" s="106">
        <v>267731</v>
      </c>
    </row>
    <row r="2266" spans="1:3">
      <c r="A2266" s="102">
        <v>42468</v>
      </c>
      <c r="B2266" s="106">
        <v>339</v>
      </c>
      <c r="C2266" s="106">
        <v>289966</v>
      </c>
    </row>
    <row r="2267" spans="1:3">
      <c r="A2267" s="102">
        <v>42469</v>
      </c>
      <c r="B2267" s="106">
        <v>339</v>
      </c>
      <c r="C2267" s="106">
        <v>289966</v>
      </c>
    </row>
    <row r="2268" spans="1:3">
      <c r="A2268" s="102">
        <v>42470</v>
      </c>
      <c r="B2268" s="106">
        <v>339</v>
      </c>
      <c r="C2268" s="106">
        <v>289966</v>
      </c>
    </row>
    <row r="2269" spans="1:3">
      <c r="A2269" s="102">
        <v>42471</v>
      </c>
      <c r="B2269" s="106">
        <v>303</v>
      </c>
      <c r="C2269" s="106">
        <v>303937</v>
      </c>
    </row>
    <row r="2270" spans="1:3">
      <c r="A2270" s="102">
        <v>42472</v>
      </c>
      <c r="B2270" s="106">
        <v>350</v>
      </c>
      <c r="C2270" s="106">
        <v>303898</v>
      </c>
    </row>
    <row r="2271" spans="1:3">
      <c r="A2271" s="102">
        <v>42473</v>
      </c>
      <c r="B2271" s="106">
        <v>491</v>
      </c>
      <c r="C2271" s="106">
        <v>286798</v>
      </c>
    </row>
    <row r="2272" spans="1:3">
      <c r="A2272" s="102">
        <v>42474</v>
      </c>
      <c r="B2272" s="106">
        <v>512</v>
      </c>
      <c r="C2272" s="106">
        <v>268200</v>
      </c>
    </row>
    <row r="2273" spans="1:3">
      <c r="A2273" s="102">
        <v>42475</v>
      </c>
      <c r="B2273" s="106">
        <v>553</v>
      </c>
      <c r="C2273" s="106">
        <v>281235</v>
      </c>
    </row>
    <row r="2274" spans="1:3">
      <c r="A2274" s="102">
        <v>42476</v>
      </c>
      <c r="B2274" s="106">
        <v>553</v>
      </c>
      <c r="C2274" s="106">
        <v>281235</v>
      </c>
    </row>
    <row r="2275" spans="1:3">
      <c r="A2275" s="102">
        <v>42477</v>
      </c>
      <c r="B2275" s="106">
        <v>553</v>
      </c>
      <c r="C2275" s="106">
        <v>281235</v>
      </c>
    </row>
    <row r="2276" spans="1:3">
      <c r="A2276" s="102">
        <v>42478</v>
      </c>
      <c r="B2276" s="106">
        <v>230</v>
      </c>
      <c r="C2276" s="106">
        <v>271222</v>
      </c>
    </row>
    <row r="2277" spans="1:3">
      <c r="A2277" s="102">
        <v>42479</v>
      </c>
      <c r="B2277" s="106">
        <v>131</v>
      </c>
      <c r="C2277" s="106">
        <v>274090</v>
      </c>
    </row>
    <row r="2278" spans="1:3">
      <c r="A2278" s="102">
        <v>42480</v>
      </c>
      <c r="B2278" s="106">
        <v>389</v>
      </c>
      <c r="C2278" s="106">
        <v>271040</v>
      </c>
    </row>
    <row r="2279" spans="1:3">
      <c r="A2279" s="102">
        <v>42481</v>
      </c>
      <c r="B2279" s="106">
        <v>41</v>
      </c>
      <c r="C2279" s="106">
        <v>276993</v>
      </c>
    </row>
    <row r="2280" spans="1:3">
      <c r="A2280" s="102">
        <v>42482</v>
      </c>
      <c r="B2280" s="106">
        <v>40</v>
      </c>
      <c r="C2280" s="106">
        <v>274865</v>
      </c>
    </row>
    <row r="2281" spans="1:3">
      <c r="A2281" s="102">
        <v>42483</v>
      </c>
      <c r="B2281" s="106">
        <v>40</v>
      </c>
      <c r="C2281" s="106">
        <v>274865</v>
      </c>
    </row>
    <row r="2282" spans="1:3">
      <c r="A2282" s="102">
        <v>42484</v>
      </c>
      <c r="B2282" s="106">
        <v>40</v>
      </c>
      <c r="C2282" s="106">
        <v>274865</v>
      </c>
    </row>
    <row r="2283" spans="1:3">
      <c r="A2283" s="102">
        <v>42485</v>
      </c>
      <c r="B2283" s="106">
        <v>40</v>
      </c>
      <c r="C2283" s="106">
        <v>288296</v>
      </c>
    </row>
    <row r="2284" spans="1:3">
      <c r="A2284" s="102">
        <v>42486</v>
      </c>
      <c r="B2284" s="106">
        <v>35</v>
      </c>
      <c r="C2284" s="106">
        <v>260392</v>
      </c>
    </row>
    <row r="2285" spans="1:3">
      <c r="A2285" s="102">
        <v>42487</v>
      </c>
      <c r="B2285" s="106">
        <v>149</v>
      </c>
      <c r="C2285" s="106">
        <v>267754</v>
      </c>
    </row>
    <row r="2286" spans="1:3">
      <c r="A2286" s="102">
        <v>42488</v>
      </c>
      <c r="B2286" s="106">
        <v>167</v>
      </c>
      <c r="C2286" s="106">
        <v>265660</v>
      </c>
    </row>
    <row r="2287" spans="1:3">
      <c r="A2287" s="102">
        <v>42489</v>
      </c>
      <c r="B2287" s="106">
        <v>142</v>
      </c>
      <c r="C2287" s="106">
        <v>304562</v>
      </c>
    </row>
    <row r="2288" spans="1:3">
      <c r="A2288" s="102">
        <v>42490</v>
      </c>
      <c r="B2288" s="106">
        <v>142</v>
      </c>
      <c r="C2288" s="106">
        <v>304562</v>
      </c>
    </row>
    <row r="2289" spans="1:3">
      <c r="A2289" s="102">
        <v>42491</v>
      </c>
      <c r="B2289" s="106">
        <v>142</v>
      </c>
      <c r="C2289" s="106">
        <v>304562</v>
      </c>
    </row>
    <row r="2290" spans="1:3">
      <c r="A2290" s="102">
        <v>42492</v>
      </c>
      <c r="B2290" s="106">
        <v>141</v>
      </c>
      <c r="C2290" s="106">
        <v>300988</v>
      </c>
    </row>
    <row r="2291" spans="1:3">
      <c r="A2291" s="102">
        <v>42493</v>
      </c>
      <c r="B2291" s="106">
        <v>103</v>
      </c>
      <c r="C2291" s="106">
        <v>304599</v>
      </c>
    </row>
    <row r="2292" spans="1:3">
      <c r="A2292" s="102">
        <v>42494</v>
      </c>
      <c r="B2292" s="106">
        <v>240</v>
      </c>
      <c r="C2292" s="106">
        <v>304602</v>
      </c>
    </row>
    <row r="2293" spans="1:3">
      <c r="A2293" s="102">
        <v>42495</v>
      </c>
      <c r="B2293" s="106">
        <v>301</v>
      </c>
      <c r="C2293" s="106">
        <v>294407</v>
      </c>
    </row>
    <row r="2294" spans="1:3">
      <c r="A2294" s="102">
        <v>42496</v>
      </c>
      <c r="B2294" s="106">
        <v>288</v>
      </c>
      <c r="C2294" s="106">
        <v>315621</v>
      </c>
    </row>
    <row r="2295" spans="1:3">
      <c r="A2295" s="102">
        <v>42497</v>
      </c>
      <c r="B2295" s="106">
        <v>288</v>
      </c>
      <c r="C2295" s="106">
        <v>315621</v>
      </c>
    </row>
    <row r="2296" spans="1:3">
      <c r="A2296" s="102">
        <v>42498</v>
      </c>
      <c r="B2296" s="106">
        <v>288</v>
      </c>
      <c r="C2296" s="106">
        <v>315621</v>
      </c>
    </row>
    <row r="2297" spans="1:3">
      <c r="A2297" s="102">
        <v>42499</v>
      </c>
      <c r="B2297" s="106">
        <v>148</v>
      </c>
      <c r="C2297" s="106">
        <v>303370</v>
      </c>
    </row>
    <row r="2298" spans="1:3">
      <c r="A2298" s="102">
        <v>42500</v>
      </c>
      <c r="B2298" s="106">
        <v>143</v>
      </c>
      <c r="C2298" s="106">
        <v>299885</v>
      </c>
    </row>
    <row r="2299" spans="1:3">
      <c r="A2299" s="102">
        <v>42501</v>
      </c>
      <c r="B2299" s="106">
        <v>230</v>
      </c>
      <c r="C2299" s="106">
        <v>303881</v>
      </c>
    </row>
    <row r="2300" spans="1:3">
      <c r="A2300" s="102">
        <v>42502</v>
      </c>
      <c r="B2300" s="106">
        <v>95</v>
      </c>
      <c r="C2300" s="106">
        <v>303394</v>
      </c>
    </row>
    <row r="2301" spans="1:3">
      <c r="A2301" s="102">
        <v>42503</v>
      </c>
      <c r="B2301" s="106">
        <v>100</v>
      </c>
      <c r="C2301" s="106">
        <v>309159</v>
      </c>
    </row>
    <row r="2302" spans="1:3">
      <c r="A2302" s="102">
        <v>42504</v>
      </c>
      <c r="B2302" s="106">
        <v>100</v>
      </c>
      <c r="C2302" s="106">
        <v>309159</v>
      </c>
    </row>
    <row r="2303" spans="1:3">
      <c r="A2303" s="102">
        <v>42505</v>
      </c>
      <c r="B2303" s="106">
        <v>100</v>
      </c>
      <c r="C2303" s="106">
        <v>309159</v>
      </c>
    </row>
    <row r="2304" spans="1:3">
      <c r="A2304" s="102">
        <v>42506</v>
      </c>
      <c r="B2304" s="106">
        <v>178</v>
      </c>
      <c r="C2304" s="106">
        <v>298115</v>
      </c>
    </row>
    <row r="2305" spans="1:3">
      <c r="A2305" s="102">
        <v>42507</v>
      </c>
      <c r="B2305" s="106">
        <v>45</v>
      </c>
      <c r="C2305" s="106">
        <v>308745</v>
      </c>
    </row>
    <row r="2306" spans="1:3">
      <c r="A2306" s="102">
        <v>42508</v>
      </c>
      <c r="B2306" s="106">
        <v>89</v>
      </c>
      <c r="C2306" s="106">
        <v>312226</v>
      </c>
    </row>
    <row r="2307" spans="1:3">
      <c r="A2307" s="102">
        <v>42509</v>
      </c>
      <c r="B2307" s="106">
        <v>131</v>
      </c>
      <c r="C2307" s="106">
        <v>298822</v>
      </c>
    </row>
    <row r="2308" spans="1:3">
      <c r="A2308" s="102">
        <v>42510</v>
      </c>
      <c r="B2308" s="106">
        <v>111</v>
      </c>
      <c r="C2308" s="106">
        <v>307601</v>
      </c>
    </row>
    <row r="2309" spans="1:3">
      <c r="A2309" s="102">
        <v>42511</v>
      </c>
      <c r="B2309" s="106">
        <v>111</v>
      </c>
      <c r="C2309" s="106">
        <v>307601</v>
      </c>
    </row>
    <row r="2310" spans="1:3">
      <c r="A2310" s="102">
        <v>42512</v>
      </c>
      <c r="B2310" s="106">
        <v>111</v>
      </c>
      <c r="C2310" s="106">
        <v>307601</v>
      </c>
    </row>
    <row r="2311" spans="1:3">
      <c r="A2311" s="102">
        <v>42513</v>
      </c>
      <c r="B2311" s="106">
        <v>2362</v>
      </c>
      <c r="C2311" s="106">
        <v>293886</v>
      </c>
    </row>
    <row r="2312" spans="1:3">
      <c r="A2312" s="102">
        <v>42514</v>
      </c>
      <c r="B2312" s="106">
        <v>150</v>
      </c>
      <c r="C2312" s="106">
        <v>300852</v>
      </c>
    </row>
    <row r="2313" spans="1:3">
      <c r="A2313" s="102">
        <v>42515</v>
      </c>
      <c r="B2313" s="106">
        <v>351</v>
      </c>
      <c r="C2313" s="106">
        <v>312790</v>
      </c>
    </row>
    <row r="2314" spans="1:3">
      <c r="A2314" s="102">
        <v>42516</v>
      </c>
      <c r="B2314" s="106">
        <v>107</v>
      </c>
      <c r="C2314" s="106">
        <v>304293</v>
      </c>
    </row>
    <row r="2315" spans="1:3">
      <c r="A2315" s="102">
        <v>42517</v>
      </c>
      <c r="B2315" s="106">
        <v>291</v>
      </c>
      <c r="C2315" s="106">
        <v>308809</v>
      </c>
    </row>
    <row r="2316" spans="1:3">
      <c r="A2316" s="102">
        <v>42518</v>
      </c>
      <c r="B2316" s="106">
        <v>291</v>
      </c>
      <c r="C2316" s="106">
        <v>308809</v>
      </c>
    </row>
    <row r="2317" spans="1:3">
      <c r="A2317" s="102">
        <v>42519</v>
      </c>
      <c r="B2317" s="106">
        <v>291</v>
      </c>
      <c r="C2317" s="106">
        <v>308809</v>
      </c>
    </row>
    <row r="2318" spans="1:3">
      <c r="A2318" s="102">
        <v>42520</v>
      </c>
      <c r="B2318" s="106">
        <v>326</v>
      </c>
      <c r="C2318" s="106">
        <v>314513</v>
      </c>
    </row>
    <row r="2319" spans="1:3">
      <c r="A2319" s="102">
        <v>42521</v>
      </c>
      <c r="B2319" s="106">
        <v>305</v>
      </c>
      <c r="C2319" s="106">
        <v>331945</v>
      </c>
    </row>
    <row r="2320" spans="1:3">
      <c r="A2320" s="102">
        <v>42522</v>
      </c>
      <c r="B2320" s="106">
        <v>281</v>
      </c>
      <c r="C2320" s="106">
        <v>275662</v>
      </c>
    </row>
    <row r="2321" spans="1:3">
      <c r="A2321" s="102">
        <v>42523</v>
      </c>
      <c r="B2321" s="106">
        <v>199</v>
      </c>
      <c r="C2321" s="106">
        <v>335255</v>
      </c>
    </row>
    <row r="2322" spans="1:3">
      <c r="A2322" s="102">
        <v>42524</v>
      </c>
      <c r="B2322" s="106">
        <v>135</v>
      </c>
      <c r="C2322" s="106">
        <v>347474</v>
      </c>
    </row>
    <row r="2323" spans="1:3">
      <c r="A2323" s="102">
        <v>42525</v>
      </c>
      <c r="B2323" s="106">
        <v>135</v>
      </c>
      <c r="C2323" s="106">
        <v>347474</v>
      </c>
    </row>
    <row r="2324" spans="1:3">
      <c r="A2324" s="102">
        <v>42526</v>
      </c>
      <c r="B2324" s="106">
        <v>135</v>
      </c>
      <c r="C2324" s="106">
        <v>347474</v>
      </c>
    </row>
    <row r="2325" spans="1:3">
      <c r="A2325" s="102">
        <v>42527</v>
      </c>
      <c r="B2325" s="106">
        <v>218</v>
      </c>
      <c r="C2325" s="106">
        <v>347149</v>
      </c>
    </row>
    <row r="2326" spans="1:3">
      <c r="A2326" s="102">
        <v>42528</v>
      </c>
      <c r="B2326" s="106">
        <v>136</v>
      </c>
      <c r="C2326" s="106">
        <v>316950</v>
      </c>
    </row>
    <row r="2327" spans="1:3">
      <c r="A2327" s="102">
        <v>42529</v>
      </c>
      <c r="B2327" s="106">
        <v>21</v>
      </c>
      <c r="C2327" s="106">
        <v>319316</v>
      </c>
    </row>
    <row r="2328" spans="1:3">
      <c r="A2328" s="102">
        <v>42530</v>
      </c>
      <c r="B2328" s="106">
        <v>207</v>
      </c>
      <c r="C2328" s="106">
        <v>330978</v>
      </c>
    </row>
    <row r="2329" spans="1:3">
      <c r="A2329" s="102">
        <v>42531</v>
      </c>
      <c r="B2329" s="106">
        <v>98</v>
      </c>
      <c r="C2329" s="106">
        <v>340266</v>
      </c>
    </row>
    <row r="2330" spans="1:3">
      <c r="A2330" s="102">
        <v>42532</v>
      </c>
      <c r="B2330" s="106">
        <v>98</v>
      </c>
      <c r="C2330" s="106">
        <v>340266</v>
      </c>
    </row>
    <row r="2331" spans="1:3">
      <c r="A2331" s="102">
        <v>42533</v>
      </c>
      <c r="B2331" s="106">
        <v>98</v>
      </c>
      <c r="C2331" s="106">
        <v>340266</v>
      </c>
    </row>
    <row r="2332" spans="1:3">
      <c r="A2332" s="102">
        <v>42534</v>
      </c>
      <c r="B2332" s="106">
        <v>127</v>
      </c>
      <c r="C2332" s="106">
        <v>344555</v>
      </c>
    </row>
    <row r="2333" spans="1:3">
      <c r="A2333" s="102">
        <v>42535</v>
      </c>
      <c r="B2333" s="106">
        <v>179</v>
      </c>
      <c r="C2333" s="106">
        <v>332039</v>
      </c>
    </row>
    <row r="2334" spans="1:3">
      <c r="A2334" s="102">
        <v>42536</v>
      </c>
      <c r="B2334" s="106">
        <v>68</v>
      </c>
      <c r="C2334" s="106">
        <v>308073</v>
      </c>
    </row>
    <row r="2335" spans="1:3">
      <c r="A2335" s="102">
        <v>42537</v>
      </c>
      <c r="B2335" s="106">
        <v>87</v>
      </c>
      <c r="C2335" s="106">
        <v>301075</v>
      </c>
    </row>
    <row r="2336" spans="1:3">
      <c r="A2336" s="102">
        <v>42538</v>
      </c>
      <c r="B2336" s="106">
        <v>78</v>
      </c>
      <c r="C2336" s="106">
        <v>321203</v>
      </c>
    </row>
    <row r="2337" spans="1:3">
      <c r="A2337" s="102">
        <v>42539</v>
      </c>
      <c r="B2337" s="106">
        <v>78</v>
      </c>
      <c r="C2337" s="106">
        <v>321203</v>
      </c>
    </row>
    <row r="2338" spans="1:3">
      <c r="A2338" s="102">
        <v>42540</v>
      </c>
      <c r="B2338" s="106">
        <v>78</v>
      </c>
      <c r="C2338" s="106">
        <v>321203</v>
      </c>
    </row>
    <row r="2339" spans="1:3">
      <c r="A2339" s="102">
        <v>42541</v>
      </c>
      <c r="B2339" s="106">
        <v>68</v>
      </c>
      <c r="C2339" s="106">
        <v>312445</v>
      </c>
    </row>
    <row r="2340" spans="1:3">
      <c r="A2340" s="102">
        <v>42542</v>
      </c>
      <c r="B2340" s="106">
        <v>45</v>
      </c>
      <c r="C2340" s="106">
        <v>294140</v>
      </c>
    </row>
    <row r="2341" spans="1:3">
      <c r="A2341" s="102">
        <v>42543</v>
      </c>
      <c r="B2341" s="106">
        <v>84</v>
      </c>
      <c r="C2341" s="106">
        <v>296962</v>
      </c>
    </row>
    <row r="2342" spans="1:3">
      <c r="A2342" s="102">
        <v>42544</v>
      </c>
      <c r="B2342" s="106">
        <v>89</v>
      </c>
      <c r="C2342" s="106">
        <v>290492</v>
      </c>
    </row>
    <row r="2343" spans="1:3">
      <c r="A2343" s="102">
        <v>42545</v>
      </c>
      <c r="B2343" s="106">
        <v>126</v>
      </c>
      <c r="C2343" s="106">
        <v>297632</v>
      </c>
    </row>
    <row r="2344" spans="1:3">
      <c r="A2344" s="102">
        <v>42546</v>
      </c>
      <c r="B2344" s="106">
        <v>126</v>
      </c>
      <c r="C2344" s="106">
        <v>297632</v>
      </c>
    </row>
    <row r="2345" spans="1:3">
      <c r="A2345" s="102">
        <v>42547</v>
      </c>
      <c r="B2345" s="106">
        <v>126</v>
      </c>
      <c r="C2345" s="106">
        <v>297632</v>
      </c>
    </row>
    <row r="2346" spans="1:3">
      <c r="A2346" s="102">
        <v>42548</v>
      </c>
      <c r="B2346" s="106">
        <v>106</v>
      </c>
      <c r="C2346" s="106">
        <v>282180</v>
      </c>
    </row>
    <row r="2347" spans="1:3">
      <c r="A2347" s="102">
        <v>42549</v>
      </c>
      <c r="B2347" s="106">
        <v>155</v>
      </c>
      <c r="C2347" s="106">
        <v>295174</v>
      </c>
    </row>
    <row r="2348" spans="1:3">
      <c r="A2348" s="102">
        <v>42550</v>
      </c>
      <c r="B2348" s="106">
        <v>224</v>
      </c>
      <c r="C2348" s="106">
        <v>309729</v>
      </c>
    </row>
    <row r="2349" spans="1:3">
      <c r="A2349" s="102">
        <v>42551</v>
      </c>
      <c r="B2349" s="106">
        <v>131</v>
      </c>
      <c r="C2349" s="106">
        <v>324916</v>
      </c>
    </row>
    <row r="2350" spans="1:3">
      <c r="A2350" s="102">
        <v>42552</v>
      </c>
      <c r="B2350" s="106">
        <v>180</v>
      </c>
      <c r="C2350" s="106">
        <v>330345</v>
      </c>
    </row>
    <row r="2351" spans="1:3">
      <c r="A2351" s="102">
        <v>42553</v>
      </c>
      <c r="B2351" s="106">
        <v>180</v>
      </c>
      <c r="C2351" s="106">
        <v>330345</v>
      </c>
    </row>
    <row r="2352" spans="1:3">
      <c r="A2352" s="102">
        <v>42554</v>
      </c>
      <c r="B2352" s="106">
        <v>180</v>
      </c>
      <c r="C2352" s="106">
        <v>330345</v>
      </c>
    </row>
    <row r="2353" spans="1:3">
      <c r="A2353" s="102">
        <v>42555</v>
      </c>
      <c r="B2353" s="106">
        <v>140</v>
      </c>
      <c r="C2353" s="106">
        <v>339664</v>
      </c>
    </row>
    <row r="2354" spans="1:3">
      <c r="A2354" s="102">
        <v>42556</v>
      </c>
      <c r="B2354" s="106">
        <v>281</v>
      </c>
      <c r="C2354" s="106">
        <v>345599</v>
      </c>
    </row>
    <row r="2355" spans="1:3">
      <c r="A2355" s="102">
        <v>42557</v>
      </c>
      <c r="B2355" s="106">
        <v>596</v>
      </c>
      <c r="C2355" s="106">
        <v>335831</v>
      </c>
    </row>
    <row r="2356" spans="1:3">
      <c r="A2356" s="102">
        <v>42558</v>
      </c>
      <c r="B2356" s="106">
        <v>122</v>
      </c>
      <c r="C2356" s="106">
        <v>339611</v>
      </c>
    </row>
    <row r="2357" spans="1:3">
      <c r="A2357" s="102">
        <v>42559</v>
      </c>
      <c r="B2357" s="106">
        <v>336</v>
      </c>
      <c r="C2357" s="106">
        <v>342124</v>
      </c>
    </row>
    <row r="2358" spans="1:3">
      <c r="A2358" s="102">
        <v>42562</v>
      </c>
      <c r="B2358" s="106">
        <v>267</v>
      </c>
      <c r="C2358" s="106">
        <v>338361</v>
      </c>
    </row>
    <row r="2359" spans="1:3">
      <c r="A2359" s="102">
        <v>42563</v>
      </c>
      <c r="B2359" s="106">
        <v>217</v>
      </c>
      <c r="C2359" s="106">
        <v>333671</v>
      </c>
    </row>
    <row r="2360" spans="1:3">
      <c r="A2360" s="102">
        <v>42564</v>
      </c>
      <c r="B2360" s="106">
        <v>64</v>
      </c>
      <c r="C2360" s="106">
        <v>344931</v>
      </c>
    </row>
    <row r="2361" spans="1:3">
      <c r="A2361" s="102">
        <v>42565</v>
      </c>
      <c r="B2361" s="106">
        <v>49</v>
      </c>
      <c r="C2361" s="106">
        <v>339258</v>
      </c>
    </row>
    <row r="2362" spans="1:3">
      <c r="A2362" s="102">
        <v>42566</v>
      </c>
      <c r="B2362" s="106">
        <v>17</v>
      </c>
      <c r="C2362" s="106">
        <v>333284</v>
      </c>
    </row>
    <row r="2363" spans="1:3">
      <c r="A2363" s="102">
        <v>42567</v>
      </c>
      <c r="B2363" s="106">
        <v>17</v>
      </c>
      <c r="C2363" s="106">
        <v>333284</v>
      </c>
    </row>
    <row r="2364" spans="1:3">
      <c r="A2364" s="102">
        <v>42568</v>
      </c>
      <c r="B2364" s="106">
        <v>17</v>
      </c>
      <c r="C2364" s="106">
        <v>333284</v>
      </c>
    </row>
    <row r="2365" spans="1:3">
      <c r="A2365" s="102">
        <v>42569</v>
      </c>
      <c r="B2365" s="106">
        <v>71</v>
      </c>
      <c r="C2365" s="106">
        <v>331419</v>
      </c>
    </row>
    <row r="2366" spans="1:3">
      <c r="A2366" s="102">
        <v>42570</v>
      </c>
      <c r="B2366" s="106">
        <v>94</v>
      </c>
      <c r="C2366" s="106">
        <v>332078</v>
      </c>
    </row>
    <row r="2367" spans="1:3">
      <c r="A2367" s="102">
        <v>42571</v>
      </c>
      <c r="B2367" s="106">
        <v>195</v>
      </c>
      <c r="C2367" s="106">
        <v>317937</v>
      </c>
    </row>
    <row r="2368" spans="1:3">
      <c r="A2368" s="102">
        <v>42572</v>
      </c>
      <c r="B2368" s="106">
        <v>239</v>
      </c>
      <c r="C2368" s="106">
        <v>313449</v>
      </c>
    </row>
    <row r="2369" spans="1:3">
      <c r="A2369" s="102">
        <v>42573</v>
      </c>
      <c r="B2369" s="106">
        <v>192</v>
      </c>
      <c r="C2369" s="106">
        <v>320566</v>
      </c>
    </row>
    <row r="2370" spans="1:3">
      <c r="A2370" s="102">
        <v>42574</v>
      </c>
      <c r="B2370" s="106">
        <v>192</v>
      </c>
      <c r="C2370" s="106">
        <v>320566</v>
      </c>
    </row>
    <row r="2371" spans="1:3">
      <c r="A2371" s="102">
        <v>42575</v>
      </c>
      <c r="B2371" s="106">
        <v>192</v>
      </c>
      <c r="C2371" s="106">
        <v>320566</v>
      </c>
    </row>
    <row r="2372" spans="1:3">
      <c r="A2372" s="102">
        <v>42576</v>
      </c>
      <c r="B2372" s="106">
        <v>161</v>
      </c>
      <c r="C2372" s="106">
        <v>313023</v>
      </c>
    </row>
    <row r="2373" spans="1:3">
      <c r="A2373" s="102">
        <v>42577</v>
      </c>
      <c r="B2373" s="106">
        <v>176</v>
      </c>
      <c r="C2373" s="106">
        <v>308218</v>
      </c>
    </row>
    <row r="2374" spans="1:3">
      <c r="A2374" s="102">
        <v>42578</v>
      </c>
      <c r="B2374" s="106">
        <v>190</v>
      </c>
      <c r="C2374" s="106">
        <v>292812</v>
      </c>
    </row>
    <row r="2375" spans="1:3">
      <c r="A2375" s="102">
        <v>42579</v>
      </c>
      <c r="B2375" s="106">
        <v>31</v>
      </c>
      <c r="C2375" s="106">
        <v>298869</v>
      </c>
    </row>
    <row r="2376" spans="1:3">
      <c r="A2376" s="102">
        <v>42580</v>
      </c>
      <c r="B2376" s="106">
        <v>44</v>
      </c>
      <c r="C2376" s="106">
        <v>331245</v>
      </c>
    </row>
    <row r="2377" spans="1:3">
      <c r="A2377" s="102">
        <v>42581</v>
      </c>
      <c r="B2377" s="106">
        <v>44</v>
      </c>
      <c r="C2377" s="106">
        <v>331245</v>
      </c>
    </row>
    <row r="2378" spans="1:3">
      <c r="A2378" s="102">
        <v>42582</v>
      </c>
      <c r="B2378" s="106">
        <v>44</v>
      </c>
      <c r="C2378" s="106">
        <v>331245</v>
      </c>
    </row>
    <row r="2379" spans="1:3">
      <c r="A2379" s="102">
        <v>42583</v>
      </c>
      <c r="B2379" s="106">
        <v>12</v>
      </c>
      <c r="C2379" s="106">
        <v>343809</v>
      </c>
    </row>
    <row r="2380" spans="1:3">
      <c r="A2380" s="102">
        <v>42584</v>
      </c>
      <c r="B2380" s="106">
        <v>0</v>
      </c>
      <c r="C2380" s="106">
        <v>337394</v>
      </c>
    </row>
    <row r="2381" spans="1:3">
      <c r="A2381" s="102">
        <v>42585</v>
      </c>
      <c r="B2381" s="106">
        <v>303</v>
      </c>
      <c r="C2381" s="106">
        <v>342387</v>
      </c>
    </row>
    <row r="2382" spans="1:3">
      <c r="A2382" s="102">
        <v>42586</v>
      </c>
      <c r="B2382" s="106">
        <v>51</v>
      </c>
      <c r="C2382" s="106">
        <v>340894</v>
      </c>
    </row>
    <row r="2383" spans="1:3">
      <c r="A2383" s="102">
        <v>42587</v>
      </c>
      <c r="B2383" s="106">
        <v>113</v>
      </c>
      <c r="C2383" s="106">
        <v>340750</v>
      </c>
    </row>
    <row r="2384" spans="1:3">
      <c r="A2384" s="102">
        <v>42588</v>
      </c>
      <c r="B2384" s="106">
        <v>113</v>
      </c>
      <c r="C2384" s="106">
        <v>340750</v>
      </c>
    </row>
    <row r="2385" spans="1:3">
      <c r="A2385" s="102">
        <v>42589</v>
      </c>
      <c r="B2385" s="106">
        <v>113</v>
      </c>
      <c r="C2385" s="106">
        <v>340750</v>
      </c>
    </row>
    <row r="2386" spans="1:3">
      <c r="A2386" s="102">
        <v>42590</v>
      </c>
      <c r="B2386" s="106">
        <v>135</v>
      </c>
      <c r="C2386" s="106">
        <v>343225</v>
      </c>
    </row>
    <row r="2387" spans="1:3">
      <c r="A2387" s="102">
        <v>42591</v>
      </c>
      <c r="B2387" s="106">
        <v>98</v>
      </c>
      <c r="C2387" s="106">
        <v>341023</v>
      </c>
    </row>
    <row r="2388" spans="1:3">
      <c r="A2388" s="102">
        <v>42592</v>
      </c>
      <c r="B2388" s="106">
        <v>89</v>
      </c>
      <c r="C2388" s="106">
        <v>339258</v>
      </c>
    </row>
    <row r="2389" spans="1:3">
      <c r="A2389" s="102">
        <v>42593</v>
      </c>
      <c r="B2389" s="106">
        <v>107</v>
      </c>
      <c r="C2389" s="106">
        <v>345812</v>
      </c>
    </row>
    <row r="2390" spans="1:3">
      <c r="A2390" s="102">
        <v>42594</v>
      </c>
      <c r="B2390" s="106">
        <v>0</v>
      </c>
      <c r="C2390" s="106">
        <v>354840</v>
      </c>
    </row>
    <row r="2391" spans="1:3">
      <c r="A2391" s="102">
        <v>42595</v>
      </c>
      <c r="B2391" s="106">
        <v>0</v>
      </c>
      <c r="C2391" s="106">
        <v>354840</v>
      </c>
    </row>
    <row r="2392" spans="1:3">
      <c r="A2392" s="102">
        <v>42596</v>
      </c>
      <c r="B2392" s="106">
        <v>0</v>
      </c>
      <c r="C2392" s="106">
        <v>354840</v>
      </c>
    </row>
    <row r="2393" spans="1:3">
      <c r="A2393" s="102">
        <v>42597</v>
      </c>
      <c r="B2393" s="106">
        <v>0</v>
      </c>
      <c r="C2393" s="106">
        <v>349950</v>
      </c>
    </row>
    <row r="2394" spans="1:3">
      <c r="A2394" s="102">
        <v>42598</v>
      </c>
      <c r="B2394" s="106">
        <v>0</v>
      </c>
      <c r="C2394" s="106">
        <v>353062</v>
      </c>
    </row>
    <row r="2395" spans="1:3">
      <c r="A2395" s="102">
        <v>42599</v>
      </c>
      <c r="B2395" s="106">
        <v>50</v>
      </c>
      <c r="C2395" s="106">
        <v>355668</v>
      </c>
    </row>
    <row r="2396" spans="1:3">
      <c r="A2396" s="102">
        <v>42600</v>
      </c>
      <c r="B2396" s="106">
        <v>2</v>
      </c>
      <c r="C2396" s="106">
        <v>352835</v>
      </c>
    </row>
    <row r="2397" spans="1:3">
      <c r="A2397" s="102">
        <v>42601</v>
      </c>
      <c r="B2397" s="106">
        <v>26</v>
      </c>
      <c r="C2397" s="106">
        <v>358701</v>
      </c>
    </row>
    <row r="2398" spans="1:3">
      <c r="A2398" s="102">
        <v>42602</v>
      </c>
      <c r="B2398" s="106">
        <v>26</v>
      </c>
      <c r="C2398" s="106">
        <v>358701</v>
      </c>
    </row>
    <row r="2399" spans="1:3">
      <c r="A2399" s="102">
        <v>42603</v>
      </c>
      <c r="B2399" s="106">
        <v>26</v>
      </c>
      <c r="C2399" s="106">
        <v>358701</v>
      </c>
    </row>
    <row r="2400" spans="1:3">
      <c r="A2400" s="102">
        <v>42604</v>
      </c>
      <c r="B2400" s="106">
        <v>15</v>
      </c>
      <c r="C2400" s="106">
        <v>352570</v>
      </c>
    </row>
    <row r="2401" spans="1:3">
      <c r="A2401" s="102">
        <v>42605</v>
      </c>
      <c r="B2401" s="106">
        <v>0</v>
      </c>
      <c r="C2401" s="106">
        <v>356865</v>
      </c>
    </row>
    <row r="2402" spans="1:3">
      <c r="A2402" s="102">
        <v>42606</v>
      </c>
      <c r="B2402" s="106">
        <v>50</v>
      </c>
      <c r="C2402" s="106">
        <v>351572</v>
      </c>
    </row>
    <row r="2403" spans="1:3">
      <c r="A2403" s="102">
        <v>42607</v>
      </c>
      <c r="B2403" s="106">
        <v>40</v>
      </c>
      <c r="C2403" s="106">
        <v>348219</v>
      </c>
    </row>
    <row r="2404" spans="1:3">
      <c r="A2404" s="102">
        <v>42608</v>
      </c>
      <c r="B2404" s="106">
        <v>36</v>
      </c>
      <c r="C2404" s="106">
        <v>346426</v>
      </c>
    </row>
    <row r="2405" spans="1:3">
      <c r="A2405" s="102">
        <v>42609</v>
      </c>
      <c r="B2405" s="106">
        <v>36</v>
      </c>
      <c r="C2405" s="106">
        <v>346426</v>
      </c>
    </row>
    <row r="2406" spans="1:3">
      <c r="A2406" s="102">
        <v>42610</v>
      </c>
      <c r="B2406" s="106">
        <v>36</v>
      </c>
      <c r="C2406" s="106">
        <v>346426</v>
      </c>
    </row>
    <row r="2407" spans="1:3">
      <c r="A2407" s="102">
        <v>42611</v>
      </c>
      <c r="B2407" s="106">
        <v>36</v>
      </c>
      <c r="C2407" s="106">
        <v>340314</v>
      </c>
    </row>
    <row r="2408" spans="1:3">
      <c r="A2408" s="102">
        <v>42612</v>
      </c>
      <c r="B2408" s="106">
        <v>35</v>
      </c>
      <c r="C2408" s="106">
        <v>356477</v>
      </c>
    </row>
    <row r="2409" spans="1:3">
      <c r="A2409" s="102">
        <v>42613</v>
      </c>
      <c r="B2409" s="106">
        <v>3</v>
      </c>
      <c r="C2409" s="106">
        <v>373025</v>
      </c>
    </row>
    <row r="2410" spans="1:3">
      <c r="A2410" s="102">
        <v>42614</v>
      </c>
      <c r="B2410" s="106">
        <v>6</v>
      </c>
      <c r="C2410" s="106">
        <v>370617</v>
      </c>
    </row>
    <row r="2411" spans="1:3">
      <c r="A2411" s="102">
        <v>42615</v>
      </c>
      <c r="B2411" s="106">
        <v>20</v>
      </c>
      <c r="C2411" s="106">
        <v>378878</v>
      </c>
    </row>
    <row r="2412" spans="1:3">
      <c r="A2412" s="102">
        <v>42616</v>
      </c>
      <c r="B2412" s="106">
        <v>20</v>
      </c>
      <c r="C2412" s="106">
        <v>378878</v>
      </c>
    </row>
    <row r="2413" spans="1:3">
      <c r="A2413" s="102">
        <v>42617</v>
      </c>
      <c r="B2413" s="106">
        <v>20</v>
      </c>
      <c r="C2413" s="106">
        <v>378878</v>
      </c>
    </row>
    <row r="2414" spans="1:3">
      <c r="A2414" s="102">
        <v>42618</v>
      </c>
      <c r="B2414" s="106">
        <v>0</v>
      </c>
      <c r="C2414" s="106">
        <v>378174</v>
      </c>
    </row>
    <row r="2415" spans="1:3">
      <c r="A2415" s="102">
        <v>42619</v>
      </c>
      <c r="B2415" s="106">
        <v>1</v>
      </c>
      <c r="C2415" s="106">
        <v>384138</v>
      </c>
    </row>
    <row r="2416" spans="1:3">
      <c r="A2416" s="102">
        <v>42620</v>
      </c>
      <c r="B2416" s="106">
        <v>101</v>
      </c>
      <c r="C2416" s="106">
        <v>376287</v>
      </c>
    </row>
    <row r="2417" spans="1:3">
      <c r="A2417" s="102">
        <v>42621</v>
      </c>
      <c r="B2417" s="106">
        <v>81</v>
      </c>
      <c r="C2417" s="106">
        <v>393615</v>
      </c>
    </row>
    <row r="2418" spans="1:3">
      <c r="A2418" s="102">
        <v>42622</v>
      </c>
      <c r="B2418" s="106">
        <v>0</v>
      </c>
      <c r="C2418" s="106">
        <v>385866</v>
      </c>
    </row>
    <row r="2419" spans="1:3">
      <c r="A2419" s="102">
        <v>42623</v>
      </c>
      <c r="B2419" s="106">
        <v>0</v>
      </c>
      <c r="C2419" s="106">
        <v>385866</v>
      </c>
    </row>
    <row r="2420" spans="1:3">
      <c r="A2420" s="102">
        <v>42624</v>
      </c>
      <c r="B2420" s="106">
        <v>0</v>
      </c>
      <c r="C2420" s="106">
        <v>385866</v>
      </c>
    </row>
    <row r="2421" spans="1:3">
      <c r="A2421" s="102">
        <v>42625</v>
      </c>
      <c r="B2421" s="106">
        <v>1</v>
      </c>
      <c r="C2421" s="106">
        <v>394756</v>
      </c>
    </row>
    <row r="2422" spans="1:3">
      <c r="A2422" s="102">
        <v>42626</v>
      </c>
      <c r="B2422" s="106">
        <v>1</v>
      </c>
      <c r="C2422" s="106">
        <v>395906</v>
      </c>
    </row>
    <row r="2423" spans="1:3">
      <c r="A2423" s="102">
        <v>42627</v>
      </c>
      <c r="B2423" s="106">
        <v>140</v>
      </c>
      <c r="C2423" s="106">
        <v>360492</v>
      </c>
    </row>
    <row r="2424" spans="1:3">
      <c r="A2424" s="102">
        <v>42628</v>
      </c>
      <c r="B2424" s="106">
        <v>105</v>
      </c>
      <c r="C2424" s="106">
        <v>355874</v>
      </c>
    </row>
    <row r="2425" spans="1:3">
      <c r="A2425" s="102">
        <v>42629</v>
      </c>
      <c r="B2425" s="106">
        <v>45</v>
      </c>
      <c r="C2425" s="106">
        <v>365691</v>
      </c>
    </row>
    <row r="2426" spans="1:3">
      <c r="A2426" s="102">
        <v>42630</v>
      </c>
      <c r="B2426" s="106">
        <v>45</v>
      </c>
      <c r="C2426" s="106">
        <v>365691</v>
      </c>
    </row>
    <row r="2427" spans="1:3">
      <c r="A2427" s="102">
        <v>42631</v>
      </c>
      <c r="B2427" s="106">
        <v>45</v>
      </c>
      <c r="C2427" s="106">
        <v>365691</v>
      </c>
    </row>
    <row r="2428" spans="1:3">
      <c r="A2428" s="102">
        <v>42632</v>
      </c>
      <c r="B2428" s="106">
        <v>30</v>
      </c>
      <c r="C2428" s="106">
        <v>376247</v>
      </c>
    </row>
    <row r="2429" spans="1:3">
      <c r="A2429" s="102">
        <v>42633</v>
      </c>
      <c r="B2429" s="106">
        <v>30</v>
      </c>
      <c r="C2429" s="106">
        <v>385747</v>
      </c>
    </row>
    <row r="2430" spans="1:3">
      <c r="A2430" s="102">
        <v>42634</v>
      </c>
      <c r="B2430" s="106">
        <v>222</v>
      </c>
      <c r="C2430" s="106">
        <v>369836</v>
      </c>
    </row>
    <row r="2431" spans="1:3">
      <c r="A2431" s="102">
        <v>42635</v>
      </c>
      <c r="B2431" s="106">
        <v>45</v>
      </c>
      <c r="C2431" s="106">
        <v>366848</v>
      </c>
    </row>
    <row r="2432" spans="1:3">
      <c r="A2432" s="102">
        <v>42636</v>
      </c>
      <c r="B2432" s="106">
        <v>72</v>
      </c>
      <c r="C2432" s="106">
        <v>392790</v>
      </c>
    </row>
    <row r="2433" spans="1:3">
      <c r="A2433" s="102">
        <v>42637</v>
      </c>
      <c r="B2433" s="106">
        <v>72</v>
      </c>
      <c r="C2433" s="106">
        <v>392790</v>
      </c>
    </row>
    <row r="2434" spans="1:3">
      <c r="A2434" s="102">
        <v>42638</v>
      </c>
      <c r="B2434" s="106">
        <v>72</v>
      </c>
      <c r="C2434" s="106">
        <v>392790</v>
      </c>
    </row>
    <row r="2435" spans="1:3">
      <c r="A2435" s="102">
        <v>42639</v>
      </c>
      <c r="B2435" s="106">
        <v>33</v>
      </c>
      <c r="C2435" s="106">
        <v>351049</v>
      </c>
    </row>
    <row r="2436" spans="1:3">
      <c r="A2436" s="102">
        <v>42640</v>
      </c>
      <c r="B2436" s="106">
        <v>42</v>
      </c>
      <c r="C2436" s="106">
        <v>367453</v>
      </c>
    </row>
    <row r="2437" spans="1:3">
      <c r="A2437" s="102">
        <v>42641</v>
      </c>
      <c r="B2437" s="106">
        <v>229</v>
      </c>
      <c r="C2437" s="106">
        <v>381112</v>
      </c>
    </row>
    <row r="2438" spans="1:3">
      <c r="A2438" s="102">
        <v>42642</v>
      </c>
      <c r="B2438" s="106">
        <v>14</v>
      </c>
      <c r="C2438" s="106">
        <v>387881</v>
      </c>
    </row>
    <row r="2439" spans="1:3">
      <c r="A2439" s="102">
        <v>42643</v>
      </c>
      <c r="B2439" s="106">
        <v>20</v>
      </c>
      <c r="C2439" s="106">
        <v>398016</v>
      </c>
    </row>
    <row r="2440" spans="1:3">
      <c r="A2440" s="102">
        <v>42644</v>
      </c>
      <c r="B2440" s="106">
        <v>20</v>
      </c>
      <c r="C2440" s="106">
        <v>398016</v>
      </c>
    </row>
    <row r="2441" spans="1:3">
      <c r="A2441" s="102">
        <v>42645</v>
      </c>
      <c r="B2441" s="106">
        <v>20</v>
      </c>
      <c r="C2441" s="106">
        <v>398016</v>
      </c>
    </row>
    <row r="2442" spans="1:3">
      <c r="A2442" s="102">
        <v>42646</v>
      </c>
      <c r="B2442" s="106">
        <v>59</v>
      </c>
      <c r="C2442" s="106">
        <v>369322</v>
      </c>
    </row>
    <row r="2443" spans="1:3">
      <c r="A2443" s="102">
        <v>42647</v>
      </c>
      <c r="B2443" s="106">
        <v>25</v>
      </c>
      <c r="C2443" s="106">
        <v>396053</v>
      </c>
    </row>
    <row r="2444" spans="1:3">
      <c r="A2444" s="102">
        <v>42648</v>
      </c>
      <c r="B2444" s="106">
        <v>136</v>
      </c>
      <c r="C2444" s="106">
        <v>392633</v>
      </c>
    </row>
    <row r="2445" spans="1:3">
      <c r="A2445" s="102">
        <v>42649</v>
      </c>
      <c r="B2445" s="106">
        <v>0</v>
      </c>
      <c r="C2445" s="106">
        <v>395030</v>
      </c>
    </row>
    <row r="2446" spans="1:3">
      <c r="A2446" s="102">
        <v>42650</v>
      </c>
      <c r="B2446" s="106">
        <v>82</v>
      </c>
      <c r="C2446" s="106">
        <v>409394</v>
      </c>
    </row>
    <row r="2447" spans="1:3">
      <c r="A2447" s="102">
        <v>42651</v>
      </c>
      <c r="B2447" s="106">
        <v>82</v>
      </c>
      <c r="C2447" s="106">
        <v>409394</v>
      </c>
    </row>
    <row r="2448" spans="1:3">
      <c r="A2448" s="102">
        <v>42652</v>
      </c>
      <c r="B2448" s="106">
        <v>82</v>
      </c>
      <c r="C2448" s="106">
        <v>409394</v>
      </c>
    </row>
    <row r="2449" spans="1:3">
      <c r="A2449" s="102">
        <v>42653</v>
      </c>
      <c r="B2449" s="106">
        <v>7</v>
      </c>
      <c r="C2449" s="106">
        <v>400337</v>
      </c>
    </row>
    <row r="2450" spans="1:3">
      <c r="A2450" s="102">
        <v>42654</v>
      </c>
      <c r="B2450" s="106">
        <v>6</v>
      </c>
      <c r="C2450" s="106">
        <v>409237</v>
      </c>
    </row>
    <row r="2451" spans="1:3">
      <c r="A2451" s="102">
        <v>42655</v>
      </c>
      <c r="B2451" s="106">
        <v>227</v>
      </c>
      <c r="C2451" s="106">
        <v>397259</v>
      </c>
    </row>
    <row r="2452" spans="1:3">
      <c r="A2452" s="102">
        <v>42656</v>
      </c>
      <c r="B2452" s="106">
        <v>193</v>
      </c>
      <c r="C2452" s="106">
        <v>403944</v>
      </c>
    </row>
    <row r="2453" spans="1:3">
      <c r="A2453" s="102">
        <v>42657</v>
      </c>
      <c r="B2453" s="106">
        <v>88</v>
      </c>
      <c r="C2453" s="106">
        <v>401478</v>
      </c>
    </row>
    <row r="2454" spans="1:3">
      <c r="A2454" s="102">
        <v>42658</v>
      </c>
      <c r="B2454" s="106">
        <v>88</v>
      </c>
      <c r="C2454" s="106">
        <v>401478</v>
      </c>
    </row>
    <row r="2455" spans="1:3">
      <c r="A2455" s="102">
        <v>42659</v>
      </c>
      <c r="B2455" s="106">
        <v>88</v>
      </c>
      <c r="C2455" s="106">
        <v>401478</v>
      </c>
    </row>
    <row r="2456" spans="1:3">
      <c r="A2456" s="102">
        <v>42660</v>
      </c>
      <c r="B2456" s="106">
        <v>40</v>
      </c>
      <c r="C2456" s="106">
        <v>404852</v>
      </c>
    </row>
    <row r="2457" spans="1:3">
      <c r="A2457" s="102">
        <v>42661</v>
      </c>
      <c r="B2457" s="106">
        <v>51</v>
      </c>
      <c r="C2457" s="106">
        <v>405309</v>
      </c>
    </row>
    <row r="2458" spans="1:3">
      <c r="A2458" s="102">
        <v>42662</v>
      </c>
      <c r="B2458" s="106">
        <v>166</v>
      </c>
      <c r="C2458" s="106">
        <v>402930</v>
      </c>
    </row>
    <row r="2459" spans="1:3">
      <c r="A2459" s="102">
        <v>42663</v>
      </c>
      <c r="B2459" s="106">
        <v>74</v>
      </c>
      <c r="C2459" s="106">
        <v>388569</v>
      </c>
    </row>
    <row r="2460" spans="1:3">
      <c r="A2460" s="102">
        <v>42664</v>
      </c>
      <c r="B2460" s="106">
        <v>38</v>
      </c>
      <c r="C2460" s="106">
        <v>397040</v>
      </c>
    </row>
    <row r="2461" spans="1:3">
      <c r="A2461" s="102">
        <v>42665</v>
      </c>
      <c r="B2461" s="106">
        <v>38</v>
      </c>
      <c r="C2461" s="106">
        <v>397040</v>
      </c>
    </row>
    <row r="2462" spans="1:3">
      <c r="A2462" s="102">
        <v>42666</v>
      </c>
      <c r="B2462" s="106">
        <v>38</v>
      </c>
      <c r="C2462" s="106">
        <v>397040</v>
      </c>
    </row>
    <row r="2463" spans="1:3">
      <c r="A2463" s="102">
        <v>42667</v>
      </c>
      <c r="B2463" s="106">
        <v>5</v>
      </c>
      <c r="C2463" s="106">
        <v>391834</v>
      </c>
    </row>
    <row r="2464" spans="1:3">
      <c r="A2464" s="102">
        <v>42668</v>
      </c>
      <c r="B2464" s="106">
        <v>55</v>
      </c>
      <c r="C2464" s="106">
        <v>401550</v>
      </c>
    </row>
    <row r="2465" spans="1:3">
      <c r="A2465" s="102">
        <v>42669</v>
      </c>
      <c r="B2465" s="106">
        <v>245</v>
      </c>
      <c r="C2465" s="106">
        <v>373003</v>
      </c>
    </row>
    <row r="2466" spans="1:3">
      <c r="A2466" s="102">
        <v>42670</v>
      </c>
      <c r="B2466" s="106">
        <v>210</v>
      </c>
      <c r="C2466" s="106">
        <v>380147</v>
      </c>
    </row>
    <row r="2467" spans="1:3">
      <c r="A2467" s="102">
        <v>42671</v>
      </c>
      <c r="B2467" s="106">
        <v>58</v>
      </c>
      <c r="C2467" s="106">
        <v>384365</v>
      </c>
    </row>
    <row r="2468" spans="1:3">
      <c r="A2468" s="102">
        <v>42672</v>
      </c>
      <c r="B2468" s="106">
        <v>58</v>
      </c>
      <c r="C2468" s="106">
        <v>384365</v>
      </c>
    </row>
    <row r="2469" spans="1:3">
      <c r="A2469" s="102">
        <v>42673</v>
      </c>
      <c r="B2469" s="106">
        <v>58</v>
      </c>
      <c r="C2469" s="106">
        <v>384365</v>
      </c>
    </row>
    <row r="2470" spans="1:3">
      <c r="A2470" s="102">
        <v>42674</v>
      </c>
      <c r="B2470" s="106">
        <v>793</v>
      </c>
      <c r="C2470" s="106">
        <v>398933</v>
      </c>
    </row>
    <row r="2471" spans="1:3">
      <c r="A2471" s="102">
        <v>42675</v>
      </c>
      <c r="B2471" s="106">
        <v>292</v>
      </c>
      <c r="C2471" s="106">
        <v>400625</v>
      </c>
    </row>
    <row r="2472" spans="1:3">
      <c r="A2472" s="102">
        <v>42676</v>
      </c>
      <c r="B2472" s="106">
        <v>266</v>
      </c>
      <c r="C2472" s="106">
        <v>417849</v>
      </c>
    </row>
    <row r="2473" spans="1:3">
      <c r="A2473" s="102">
        <v>42677</v>
      </c>
      <c r="B2473" s="106">
        <v>150</v>
      </c>
      <c r="C2473" s="106">
        <v>430734</v>
      </c>
    </row>
    <row r="2474" spans="1:3">
      <c r="A2474" s="102">
        <v>42678</v>
      </c>
      <c r="B2474" s="106">
        <v>206</v>
      </c>
      <c r="C2474" s="106">
        <v>455571</v>
      </c>
    </row>
    <row r="2475" spans="1:3">
      <c r="A2475" s="102">
        <v>42679</v>
      </c>
      <c r="B2475" s="106">
        <v>206</v>
      </c>
      <c r="C2475" s="106">
        <v>455571</v>
      </c>
    </row>
    <row r="2476" spans="1:3">
      <c r="A2476" s="102">
        <v>42680</v>
      </c>
      <c r="B2476" s="106">
        <v>206</v>
      </c>
      <c r="C2476" s="106">
        <v>455571</v>
      </c>
    </row>
    <row r="2477" spans="1:3">
      <c r="A2477" s="102">
        <v>42681</v>
      </c>
      <c r="B2477" s="106">
        <v>80</v>
      </c>
      <c r="C2477" s="106">
        <v>448587</v>
      </c>
    </row>
    <row r="2478" spans="1:3">
      <c r="A2478" s="102">
        <v>42682</v>
      </c>
      <c r="B2478" s="106">
        <v>0</v>
      </c>
      <c r="C2478" s="106">
        <v>455753</v>
      </c>
    </row>
    <row r="2479" spans="1:3">
      <c r="A2479" s="102">
        <v>42683</v>
      </c>
      <c r="B2479" s="106">
        <v>177</v>
      </c>
      <c r="C2479" s="106">
        <v>458162</v>
      </c>
    </row>
    <row r="2480" spans="1:3">
      <c r="A2480" s="102">
        <v>42684</v>
      </c>
      <c r="B2480" s="106">
        <v>95</v>
      </c>
      <c r="C2480" s="106">
        <v>459204</v>
      </c>
    </row>
    <row r="2481" spans="1:3">
      <c r="A2481" s="102">
        <v>42685</v>
      </c>
      <c r="B2481" s="106">
        <v>85</v>
      </c>
      <c r="C2481" s="106">
        <v>459724</v>
      </c>
    </row>
    <row r="2482" spans="1:3">
      <c r="A2482" s="102">
        <v>42686</v>
      </c>
      <c r="B2482" s="106">
        <v>85</v>
      </c>
      <c r="C2482" s="106">
        <v>459724</v>
      </c>
    </row>
    <row r="2483" spans="1:3">
      <c r="A2483" s="102">
        <v>42687</v>
      </c>
      <c r="B2483" s="106">
        <v>85</v>
      </c>
      <c r="C2483" s="106">
        <v>459724</v>
      </c>
    </row>
    <row r="2484" spans="1:3">
      <c r="A2484" s="102">
        <v>42688</v>
      </c>
      <c r="B2484" s="106">
        <v>48</v>
      </c>
      <c r="C2484" s="106">
        <v>458195</v>
      </c>
    </row>
    <row r="2485" spans="1:3">
      <c r="A2485" s="102">
        <v>42689</v>
      </c>
      <c r="B2485" s="106">
        <v>1</v>
      </c>
      <c r="C2485" s="106">
        <v>453065</v>
      </c>
    </row>
    <row r="2486" spans="1:3">
      <c r="A2486" s="102">
        <v>42690</v>
      </c>
      <c r="B2486" s="106">
        <v>53</v>
      </c>
      <c r="C2486" s="106">
        <v>448331</v>
      </c>
    </row>
    <row r="2487" spans="1:3">
      <c r="A2487" s="102">
        <v>42691</v>
      </c>
      <c r="B2487" s="106">
        <v>181</v>
      </c>
      <c r="C2487" s="106">
        <v>456336</v>
      </c>
    </row>
    <row r="2488" spans="1:3">
      <c r="A2488" s="102">
        <v>42692</v>
      </c>
      <c r="B2488" s="106">
        <v>37</v>
      </c>
      <c r="C2488" s="106">
        <v>458959</v>
      </c>
    </row>
    <row r="2489" spans="1:3">
      <c r="A2489" s="102">
        <v>42693</v>
      </c>
      <c r="B2489" s="106">
        <v>37</v>
      </c>
      <c r="C2489" s="106">
        <v>458959</v>
      </c>
    </row>
    <row r="2490" spans="1:3">
      <c r="A2490" s="102">
        <v>42694</v>
      </c>
      <c r="B2490" s="106">
        <v>37</v>
      </c>
      <c r="C2490" s="106">
        <v>458959</v>
      </c>
    </row>
    <row r="2491" spans="1:3">
      <c r="A2491" s="102">
        <v>42695</v>
      </c>
      <c r="B2491" s="106">
        <v>98</v>
      </c>
      <c r="C2491" s="106">
        <v>446959</v>
      </c>
    </row>
    <row r="2492" spans="1:3">
      <c r="A2492" s="102">
        <v>42696</v>
      </c>
      <c r="B2492" s="106">
        <v>512</v>
      </c>
      <c r="C2492" s="106">
        <v>449530</v>
      </c>
    </row>
    <row r="2493" spans="1:3">
      <c r="A2493" s="102">
        <v>42697</v>
      </c>
      <c r="B2493" s="106">
        <v>257</v>
      </c>
      <c r="C2493" s="106">
        <v>433855</v>
      </c>
    </row>
    <row r="2494" spans="1:3">
      <c r="A2494" s="102">
        <v>42698</v>
      </c>
      <c r="B2494" s="106">
        <v>263</v>
      </c>
      <c r="C2494" s="106">
        <v>433624</v>
      </c>
    </row>
    <row r="2495" spans="1:3">
      <c r="A2495" s="102">
        <v>42699</v>
      </c>
      <c r="B2495" s="106">
        <v>172</v>
      </c>
      <c r="C2495" s="106">
        <v>428768</v>
      </c>
    </row>
    <row r="2496" spans="1:3">
      <c r="A2496" s="102">
        <v>42700</v>
      </c>
      <c r="B2496" s="106">
        <v>172</v>
      </c>
      <c r="C2496" s="106">
        <v>428768</v>
      </c>
    </row>
    <row r="2497" spans="1:3">
      <c r="A2497" s="102">
        <v>42701</v>
      </c>
      <c r="B2497" s="106">
        <v>172</v>
      </c>
      <c r="C2497" s="106">
        <v>428768</v>
      </c>
    </row>
    <row r="2498" spans="1:3">
      <c r="A2498" s="102">
        <v>42702</v>
      </c>
      <c r="B2498" s="106">
        <v>53</v>
      </c>
      <c r="C2498" s="106">
        <v>439049</v>
      </c>
    </row>
    <row r="2499" spans="1:3">
      <c r="A2499" s="102">
        <v>42703</v>
      </c>
      <c r="B2499" s="106">
        <v>60</v>
      </c>
      <c r="C2499" s="106">
        <v>431262</v>
      </c>
    </row>
    <row r="2500" spans="1:3">
      <c r="A2500" s="102">
        <v>42704</v>
      </c>
      <c r="B2500" s="106">
        <v>522</v>
      </c>
      <c r="C2500" s="106">
        <v>428671</v>
      </c>
    </row>
    <row r="2501" spans="1:3">
      <c r="A2501" s="102">
        <v>42705</v>
      </c>
      <c r="B2501" s="106">
        <v>472</v>
      </c>
      <c r="C2501" s="106">
        <v>450611</v>
      </c>
    </row>
    <row r="2502" spans="1:3">
      <c r="A2502" s="102">
        <v>42706</v>
      </c>
      <c r="B2502" s="106">
        <v>168</v>
      </c>
      <c r="C2502" s="106">
        <v>451648</v>
      </c>
    </row>
    <row r="2503" spans="1:3">
      <c r="A2503" s="102">
        <v>42707</v>
      </c>
      <c r="B2503" s="106">
        <v>168</v>
      </c>
      <c r="C2503" s="106">
        <v>451648</v>
      </c>
    </row>
    <row r="2504" spans="1:3">
      <c r="A2504" s="102">
        <v>42708</v>
      </c>
      <c r="B2504" s="106">
        <v>168</v>
      </c>
      <c r="C2504" s="106">
        <v>451648</v>
      </c>
    </row>
    <row r="2505" spans="1:3">
      <c r="A2505" s="102">
        <v>42709</v>
      </c>
      <c r="B2505" s="106">
        <v>108</v>
      </c>
      <c r="C2505" s="106">
        <v>447402</v>
      </c>
    </row>
    <row r="2506" spans="1:3">
      <c r="A2506" s="102">
        <v>42710</v>
      </c>
      <c r="B2506" s="106">
        <v>7</v>
      </c>
      <c r="C2506" s="106">
        <v>454127</v>
      </c>
    </row>
    <row r="2507" spans="1:3">
      <c r="A2507" s="102">
        <v>42711</v>
      </c>
      <c r="B2507" s="106">
        <v>278</v>
      </c>
      <c r="C2507" s="106">
        <v>452186</v>
      </c>
    </row>
    <row r="2508" spans="1:3">
      <c r="A2508" s="102">
        <v>42712</v>
      </c>
      <c r="B2508" s="106">
        <v>83</v>
      </c>
      <c r="C2508" s="106">
        <v>449158</v>
      </c>
    </row>
    <row r="2509" spans="1:3">
      <c r="A2509" s="102">
        <v>42713</v>
      </c>
      <c r="B2509" s="106">
        <v>220</v>
      </c>
      <c r="C2509" s="106">
        <v>451870</v>
      </c>
    </row>
    <row r="2510" spans="1:3">
      <c r="A2510" s="102">
        <v>42714</v>
      </c>
      <c r="B2510" s="106">
        <v>220</v>
      </c>
      <c r="C2510" s="106">
        <v>451870</v>
      </c>
    </row>
    <row r="2511" spans="1:3">
      <c r="A2511" s="102">
        <v>42715</v>
      </c>
      <c r="B2511" s="106">
        <v>220</v>
      </c>
      <c r="C2511" s="106">
        <v>451870</v>
      </c>
    </row>
    <row r="2512" spans="1:3">
      <c r="A2512" s="102">
        <v>42716</v>
      </c>
      <c r="B2512" s="106">
        <v>116</v>
      </c>
      <c r="C2512" s="106">
        <v>449113</v>
      </c>
    </row>
    <row r="2513" spans="1:3">
      <c r="A2513" s="102">
        <v>42717</v>
      </c>
      <c r="B2513" s="106">
        <v>92</v>
      </c>
      <c r="C2513" s="106">
        <v>442776</v>
      </c>
    </row>
    <row r="2514" spans="1:3">
      <c r="A2514" s="102">
        <v>42718</v>
      </c>
      <c r="B2514" s="106">
        <v>215</v>
      </c>
      <c r="C2514" s="106">
        <v>399217</v>
      </c>
    </row>
    <row r="2515" spans="1:3">
      <c r="A2515" s="102">
        <v>42719</v>
      </c>
      <c r="B2515" s="106">
        <v>174</v>
      </c>
      <c r="C2515" s="106">
        <v>396316</v>
      </c>
    </row>
    <row r="2516" spans="1:3">
      <c r="A2516" s="102">
        <v>42720</v>
      </c>
      <c r="B2516" s="106">
        <v>147</v>
      </c>
      <c r="C2516" s="106">
        <v>418410</v>
      </c>
    </row>
    <row r="2517" spans="1:3">
      <c r="A2517" s="102">
        <v>42721</v>
      </c>
      <c r="B2517" s="106">
        <v>147</v>
      </c>
      <c r="C2517" s="106">
        <v>418410</v>
      </c>
    </row>
    <row r="2518" spans="1:3">
      <c r="A2518" s="102">
        <v>42722</v>
      </c>
      <c r="B2518" s="106">
        <v>147</v>
      </c>
      <c r="C2518" s="106">
        <v>418410</v>
      </c>
    </row>
    <row r="2519" spans="1:3">
      <c r="A2519" s="102">
        <v>42723</v>
      </c>
      <c r="B2519" s="106">
        <v>72</v>
      </c>
      <c r="C2519" s="106">
        <v>419842</v>
      </c>
    </row>
    <row r="2520" spans="1:3">
      <c r="A2520" s="102">
        <v>42724</v>
      </c>
      <c r="B2520" s="106">
        <v>0</v>
      </c>
      <c r="C2520" s="106">
        <v>428257</v>
      </c>
    </row>
    <row r="2521" spans="1:3">
      <c r="A2521" s="102">
        <v>42725</v>
      </c>
      <c r="B2521" s="106">
        <v>201</v>
      </c>
      <c r="C2521" s="106">
        <v>413409</v>
      </c>
    </row>
    <row r="2522" spans="1:3">
      <c r="A2522" s="102">
        <v>42726</v>
      </c>
      <c r="B2522" s="106">
        <v>180</v>
      </c>
      <c r="C2522" s="106">
        <v>422374</v>
      </c>
    </row>
    <row r="2523" spans="1:3">
      <c r="A2523" s="102">
        <v>42727</v>
      </c>
      <c r="B2523" s="106">
        <v>353</v>
      </c>
      <c r="C2523" s="106">
        <v>422873</v>
      </c>
    </row>
    <row r="2524" spans="1:3">
      <c r="A2524" s="102">
        <v>42728</v>
      </c>
      <c r="B2524" s="106">
        <v>353</v>
      </c>
      <c r="C2524" s="106">
        <v>422873</v>
      </c>
    </row>
    <row r="2525" spans="1:3">
      <c r="A2525" s="102">
        <v>42729</v>
      </c>
      <c r="B2525" s="106">
        <v>353</v>
      </c>
      <c r="C2525" s="106">
        <v>422873</v>
      </c>
    </row>
    <row r="2526" spans="1:3">
      <c r="A2526" s="102">
        <v>42730</v>
      </c>
      <c r="B2526" s="106">
        <v>353</v>
      </c>
      <c r="C2526" s="106">
        <v>422873</v>
      </c>
    </row>
    <row r="2527" spans="1:3">
      <c r="A2527" s="102">
        <v>42731</v>
      </c>
      <c r="B2527" s="106">
        <v>2190</v>
      </c>
      <c r="C2527" s="106">
        <v>422090</v>
      </c>
    </row>
    <row r="2528" spans="1:3">
      <c r="A2528" s="102">
        <v>42732</v>
      </c>
      <c r="B2528" s="106">
        <v>40</v>
      </c>
      <c r="C2528" s="106">
        <v>415463</v>
      </c>
    </row>
    <row r="2529" spans="1:3">
      <c r="A2529" s="102">
        <v>42733</v>
      </c>
      <c r="B2529" s="106">
        <v>45</v>
      </c>
      <c r="C2529" s="106">
        <v>430015</v>
      </c>
    </row>
    <row r="2530" spans="1:3">
      <c r="A2530" s="102">
        <v>42734</v>
      </c>
      <c r="B2530" s="106">
        <v>172</v>
      </c>
      <c r="C2530" s="106">
        <v>424208</v>
      </c>
    </row>
    <row r="2531" spans="1:3">
      <c r="A2531" s="102">
        <v>42735</v>
      </c>
      <c r="B2531" s="106">
        <v>172</v>
      </c>
      <c r="C2531" s="106">
        <v>424208</v>
      </c>
    </row>
    <row r="2532" spans="1:3">
      <c r="A2532" s="102">
        <v>42736</v>
      </c>
      <c r="B2532" s="106">
        <v>172</v>
      </c>
      <c r="C2532" s="106">
        <v>424208</v>
      </c>
    </row>
    <row r="2533" spans="1:3">
      <c r="A2533" s="102">
        <v>42737</v>
      </c>
      <c r="B2533" s="106">
        <v>236</v>
      </c>
      <c r="C2533" s="106">
        <v>448285</v>
      </c>
    </row>
    <row r="2534" spans="1:3">
      <c r="A2534" s="102">
        <v>42738</v>
      </c>
      <c r="B2534" s="106">
        <v>286</v>
      </c>
      <c r="C2534" s="106">
        <v>451065</v>
      </c>
    </row>
    <row r="2535" spans="1:3">
      <c r="A2535" s="102">
        <v>42739</v>
      </c>
      <c r="B2535" s="106">
        <v>388</v>
      </c>
      <c r="C2535" s="106">
        <v>452531</v>
      </c>
    </row>
    <row r="2536" spans="1:3">
      <c r="A2536" s="102">
        <v>42740</v>
      </c>
      <c r="B2536" s="106">
        <v>374</v>
      </c>
      <c r="C2536" s="106">
        <v>447981</v>
      </c>
    </row>
    <row r="2537" spans="1:3">
      <c r="A2537" s="102">
        <v>42741</v>
      </c>
      <c r="B2537" s="106">
        <v>249</v>
      </c>
      <c r="C2537" s="106">
        <v>440534</v>
      </c>
    </row>
    <row r="2538" spans="1:3">
      <c r="A2538" s="102">
        <v>42742</v>
      </c>
      <c r="B2538" s="106">
        <v>249</v>
      </c>
      <c r="C2538" s="106">
        <v>440534</v>
      </c>
    </row>
    <row r="2539" spans="1:3">
      <c r="A2539" s="102">
        <v>42743</v>
      </c>
      <c r="B2539" s="106">
        <v>249</v>
      </c>
      <c r="C2539" s="106">
        <v>440534</v>
      </c>
    </row>
    <row r="2540" spans="1:3">
      <c r="A2540" s="102">
        <v>42744</v>
      </c>
      <c r="B2540" s="106">
        <v>137</v>
      </c>
      <c r="C2540" s="106">
        <v>458582</v>
      </c>
    </row>
    <row r="2541" spans="1:3">
      <c r="A2541" s="102">
        <v>42745</v>
      </c>
      <c r="B2541" s="106">
        <v>377</v>
      </c>
      <c r="C2541" s="106">
        <v>440452</v>
      </c>
    </row>
    <row r="2542" spans="1:3">
      <c r="A2542" s="102">
        <v>42746</v>
      </c>
      <c r="B2542" s="106">
        <v>278</v>
      </c>
      <c r="C2542" s="106">
        <v>450351</v>
      </c>
    </row>
    <row r="2543" spans="1:3">
      <c r="A2543" s="102">
        <v>42747</v>
      </c>
      <c r="B2543" s="106">
        <v>149</v>
      </c>
      <c r="C2543" s="106">
        <v>440690</v>
      </c>
    </row>
    <row r="2544" spans="1:3">
      <c r="A2544" s="102">
        <v>42748</v>
      </c>
      <c r="B2544" s="106">
        <v>175</v>
      </c>
      <c r="C2544" s="106">
        <v>461388</v>
      </c>
    </row>
    <row r="2545" spans="1:3">
      <c r="A2545" s="102">
        <v>42749</v>
      </c>
      <c r="B2545" s="106">
        <v>175</v>
      </c>
      <c r="C2545" s="106">
        <v>461388</v>
      </c>
    </row>
    <row r="2546" spans="1:3">
      <c r="A2546" s="102">
        <v>42750</v>
      </c>
      <c r="B2546" s="106">
        <v>175</v>
      </c>
      <c r="C2546" s="106">
        <v>461388</v>
      </c>
    </row>
    <row r="2547" spans="1:3">
      <c r="A2547" s="102">
        <v>42751</v>
      </c>
      <c r="B2547" s="106">
        <v>65</v>
      </c>
      <c r="C2547" s="106">
        <v>456960</v>
      </c>
    </row>
    <row r="2548" spans="1:3">
      <c r="A2548" s="102">
        <v>42752</v>
      </c>
      <c r="B2548" s="106">
        <v>88</v>
      </c>
      <c r="C2548" s="106">
        <v>452600</v>
      </c>
    </row>
    <row r="2549" spans="1:3">
      <c r="A2549" s="102">
        <v>42753</v>
      </c>
      <c r="B2549" s="106">
        <v>261</v>
      </c>
      <c r="C2549" s="106">
        <v>454041</v>
      </c>
    </row>
    <row r="2550" spans="1:3">
      <c r="A2550" s="102">
        <v>42754</v>
      </c>
      <c r="B2550" s="106">
        <v>182</v>
      </c>
      <c r="C2550" s="106">
        <v>445533</v>
      </c>
    </row>
    <row r="2551" spans="1:3">
      <c r="A2551" s="102">
        <v>42755</v>
      </c>
      <c r="B2551" s="106">
        <v>96</v>
      </c>
      <c r="C2551" s="106">
        <v>434268</v>
      </c>
    </row>
    <row r="2552" spans="1:3">
      <c r="A2552" s="102">
        <v>42756</v>
      </c>
      <c r="B2552" s="106">
        <v>96</v>
      </c>
      <c r="C2552" s="106">
        <v>434268</v>
      </c>
    </row>
    <row r="2553" spans="1:3">
      <c r="A2553" s="102">
        <v>42757</v>
      </c>
      <c r="B2553" s="106">
        <v>96</v>
      </c>
      <c r="C2553" s="106">
        <v>434268</v>
      </c>
    </row>
    <row r="2554" spans="1:3">
      <c r="A2554" s="102">
        <v>42758</v>
      </c>
      <c r="B2554" s="106">
        <v>10</v>
      </c>
      <c r="C2554" s="106">
        <v>435199</v>
      </c>
    </row>
    <row r="2555" spans="1:3">
      <c r="A2555" s="102">
        <v>42759</v>
      </c>
      <c r="B2555" s="106">
        <v>62</v>
      </c>
      <c r="C2555" s="106">
        <v>437280</v>
      </c>
    </row>
    <row r="2556" spans="1:3">
      <c r="A2556" s="102">
        <v>42760</v>
      </c>
      <c r="B2556" s="106">
        <v>290</v>
      </c>
      <c r="C2556" s="106">
        <v>403937</v>
      </c>
    </row>
    <row r="2557" spans="1:3">
      <c r="A2557" s="102">
        <v>42761</v>
      </c>
      <c r="B2557" s="106">
        <v>31</v>
      </c>
      <c r="C2557" s="106">
        <v>409718</v>
      </c>
    </row>
    <row r="2558" spans="1:3">
      <c r="A2558" s="102">
        <v>42762</v>
      </c>
      <c r="B2558" s="106">
        <v>183</v>
      </c>
      <c r="C2558" s="106">
        <v>406739</v>
      </c>
    </row>
    <row r="2559" spans="1:3">
      <c r="A2559" s="102">
        <v>42763</v>
      </c>
      <c r="B2559" s="106">
        <v>183</v>
      </c>
      <c r="C2559" s="106">
        <v>406739</v>
      </c>
    </row>
    <row r="2560" spans="1:3">
      <c r="A2560" s="102">
        <v>42764</v>
      </c>
      <c r="B2560" s="106">
        <v>183</v>
      </c>
      <c r="C2560" s="106">
        <v>406739</v>
      </c>
    </row>
    <row r="2561" spans="1:3">
      <c r="A2561" s="102">
        <v>42765</v>
      </c>
      <c r="B2561" s="106">
        <v>15</v>
      </c>
      <c r="C2561" s="106">
        <v>427090</v>
      </c>
    </row>
    <row r="2562" spans="1:3">
      <c r="A2562" s="102">
        <v>42766</v>
      </c>
      <c r="B2562" s="106">
        <v>142</v>
      </c>
      <c r="C2562" s="106">
        <v>438261</v>
      </c>
    </row>
    <row r="2563" spans="1:3">
      <c r="A2563" s="102">
        <v>42767</v>
      </c>
      <c r="B2563" s="106">
        <v>97</v>
      </c>
      <c r="C2563" s="106">
        <v>450841</v>
      </c>
    </row>
    <row r="2564" spans="1:3">
      <c r="A2564" s="102">
        <v>42768</v>
      </c>
      <c r="B2564" s="106">
        <v>107</v>
      </c>
      <c r="C2564" s="106">
        <v>464029</v>
      </c>
    </row>
    <row r="2565" spans="1:3">
      <c r="A2565" s="102">
        <v>42769</v>
      </c>
      <c r="B2565" s="106">
        <v>171</v>
      </c>
      <c r="C2565" s="106">
        <v>474209</v>
      </c>
    </row>
    <row r="2566" spans="1:3">
      <c r="A2566" s="102">
        <v>42770</v>
      </c>
      <c r="B2566" s="106">
        <v>171</v>
      </c>
      <c r="C2566" s="106">
        <v>474209</v>
      </c>
    </row>
    <row r="2567" spans="1:3">
      <c r="A2567" s="102">
        <v>42771</v>
      </c>
      <c r="B2567" s="106">
        <v>171</v>
      </c>
      <c r="C2567" s="106">
        <v>474209</v>
      </c>
    </row>
    <row r="2568" spans="1:3">
      <c r="A2568" s="102">
        <v>42772</v>
      </c>
      <c r="B2568" s="106">
        <v>106</v>
      </c>
      <c r="C2568" s="106">
        <v>477773</v>
      </c>
    </row>
    <row r="2569" spans="1:3">
      <c r="A2569" s="102">
        <v>42773</v>
      </c>
      <c r="B2569" s="106">
        <v>245</v>
      </c>
      <c r="C2569" s="106">
        <v>482355</v>
      </c>
    </row>
    <row r="2570" spans="1:3">
      <c r="A2570" s="102">
        <v>42774</v>
      </c>
      <c r="B2570" s="106">
        <v>288</v>
      </c>
      <c r="C2570" s="106">
        <v>487176</v>
      </c>
    </row>
    <row r="2571" spans="1:3">
      <c r="A2571" s="102">
        <v>42775</v>
      </c>
      <c r="B2571" s="106">
        <v>337</v>
      </c>
      <c r="C2571" s="106">
        <v>490158</v>
      </c>
    </row>
    <row r="2572" spans="1:3">
      <c r="A2572" s="102">
        <v>42776</v>
      </c>
      <c r="B2572" s="106">
        <v>590</v>
      </c>
      <c r="C2572" s="106">
        <v>495763</v>
      </c>
    </row>
    <row r="2573" spans="1:3">
      <c r="A2573" s="102">
        <v>42777</v>
      </c>
      <c r="B2573" s="106">
        <v>590</v>
      </c>
      <c r="C2573" s="106">
        <v>495763</v>
      </c>
    </row>
    <row r="2574" spans="1:3">
      <c r="A2574" s="102">
        <v>42778</v>
      </c>
      <c r="B2574" s="106">
        <v>590</v>
      </c>
      <c r="C2574" s="106">
        <v>495763</v>
      </c>
    </row>
    <row r="2575" spans="1:3">
      <c r="A2575" s="102">
        <v>42779</v>
      </c>
      <c r="B2575" s="106">
        <v>353</v>
      </c>
      <c r="C2575" s="106">
        <v>484280</v>
      </c>
    </row>
    <row r="2576" spans="1:3">
      <c r="A2576" s="102">
        <v>42780</v>
      </c>
      <c r="B2576" s="106">
        <v>296</v>
      </c>
      <c r="C2576" s="106">
        <v>481721</v>
      </c>
    </row>
    <row r="2577" spans="1:3">
      <c r="A2577" s="102">
        <v>42781</v>
      </c>
      <c r="B2577" s="106">
        <v>137</v>
      </c>
      <c r="C2577" s="106">
        <v>475921</v>
      </c>
    </row>
    <row r="2578" spans="1:3">
      <c r="A2578" s="102">
        <v>42782</v>
      </c>
      <c r="B2578" s="106">
        <v>52</v>
      </c>
      <c r="C2578" s="106">
        <v>464126</v>
      </c>
    </row>
    <row r="2579" spans="1:3">
      <c r="A2579" s="102">
        <v>42783</v>
      </c>
      <c r="B2579" s="106">
        <v>623</v>
      </c>
      <c r="C2579" s="106">
        <v>469039</v>
      </c>
    </row>
    <row r="2580" spans="1:3">
      <c r="A2580" s="102">
        <v>42784</v>
      </c>
      <c r="B2580" s="106">
        <v>623</v>
      </c>
      <c r="C2580" s="106">
        <v>469039</v>
      </c>
    </row>
    <row r="2581" spans="1:3">
      <c r="A2581" s="102">
        <v>42785</v>
      </c>
      <c r="B2581" s="106">
        <v>623</v>
      </c>
      <c r="C2581" s="106">
        <v>469039</v>
      </c>
    </row>
    <row r="2582" spans="1:3">
      <c r="A2582" s="102">
        <v>42786</v>
      </c>
      <c r="B2582" s="106">
        <v>1544</v>
      </c>
      <c r="C2582" s="106">
        <v>481266</v>
      </c>
    </row>
    <row r="2583" spans="1:3">
      <c r="A2583" s="102">
        <v>42787</v>
      </c>
      <c r="B2583" s="106">
        <v>177</v>
      </c>
      <c r="C2583" s="106">
        <v>480225</v>
      </c>
    </row>
    <row r="2584" spans="1:3">
      <c r="A2584" s="102">
        <v>42788</v>
      </c>
      <c r="B2584" s="106">
        <v>188</v>
      </c>
      <c r="C2584" s="106">
        <v>460247</v>
      </c>
    </row>
    <row r="2585" spans="1:3">
      <c r="A2585" s="102">
        <v>42789</v>
      </c>
      <c r="B2585" s="106">
        <v>184</v>
      </c>
      <c r="C2585" s="106">
        <v>471604</v>
      </c>
    </row>
    <row r="2586" spans="1:3">
      <c r="A2586" s="102">
        <v>42790</v>
      </c>
      <c r="B2586" s="106">
        <v>103</v>
      </c>
      <c r="C2586" s="106">
        <v>477414</v>
      </c>
    </row>
    <row r="2587" spans="1:3">
      <c r="A2587" s="102">
        <v>42791</v>
      </c>
      <c r="B2587" s="106">
        <v>103</v>
      </c>
      <c r="C2587" s="106">
        <v>477414</v>
      </c>
    </row>
    <row r="2588" spans="1:3">
      <c r="A2588" s="102">
        <v>42792</v>
      </c>
      <c r="B2588" s="106">
        <v>103</v>
      </c>
      <c r="C2588" s="106">
        <v>477414</v>
      </c>
    </row>
    <row r="2589" spans="1:3">
      <c r="A2589" s="102">
        <v>42793</v>
      </c>
      <c r="B2589" s="106">
        <v>62</v>
      </c>
      <c r="C2589" s="106">
        <v>498470</v>
      </c>
    </row>
    <row r="2590" spans="1:3">
      <c r="A2590" s="102">
        <v>42794</v>
      </c>
      <c r="B2590" s="106">
        <v>165</v>
      </c>
      <c r="C2590" s="106">
        <v>508884</v>
      </c>
    </row>
    <row r="2591" spans="1:3">
      <c r="A2591" s="102">
        <v>42795</v>
      </c>
      <c r="B2591" s="106">
        <v>277</v>
      </c>
      <c r="C2591" s="106">
        <v>507781</v>
      </c>
    </row>
    <row r="2592" spans="1:3">
      <c r="A2592" s="102">
        <v>42796</v>
      </c>
      <c r="B2592" s="106">
        <v>241</v>
      </c>
      <c r="C2592" s="106">
        <v>513003</v>
      </c>
    </row>
    <row r="2593" spans="1:3">
      <c r="A2593" s="102">
        <v>42797</v>
      </c>
      <c r="B2593" s="106">
        <v>232</v>
      </c>
      <c r="C2593" s="106">
        <v>501782</v>
      </c>
    </row>
    <row r="2594" spans="1:3">
      <c r="A2594" s="102">
        <v>42798</v>
      </c>
      <c r="B2594" s="106">
        <v>232</v>
      </c>
      <c r="C2594" s="106">
        <v>501782</v>
      </c>
    </row>
    <row r="2595" spans="1:3">
      <c r="A2595" s="102">
        <v>42799</v>
      </c>
      <c r="B2595" s="106">
        <v>232</v>
      </c>
      <c r="C2595" s="106">
        <v>501782</v>
      </c>
    </row>
    <row r="2596" spans="1:3">
      <c r="A2596" s="102">
        <v>42800</v>
      </c>
      <c r="B2596" s="106">
        <v>276</v>
      </c>
      <c r="C2596" s="106">
        <v>503857</v>
      </c>
    </row>
    <row r="2597" spans="1:3">
      <c r="A2597" s="102">
        <v>42801</v>
      </c>
      <c r="B2597" s="106">
        <v>383</v>
      </c>
      <c r="C2597" s="106">
        <v>514048</v>
      </c>
    </row>
    <row r="2598" spans="1:3">
      <c r="A2598" s="102">
        <v>42802</v>
      </c>
      <c r="B2598" s="106">
        <v>111</v>
      </c>
      <c r="C2598" s="106">
        <v>513223</v>
      </c>
    </row>
    <row r="2599" spans="1:3">
      <c r="A2599" s="102">
        <v>42803</v>
      </c>
      <c r="B2599" s="106">
        <v>136</v>
      </c>
      <c r="C2599" s="106">
        <v>512933</v>
      </c>
    </row>
    <row r="2600" spans="1:3">
      <c r="A2600" s="102">
        <v>42804</v>
      </c>
      <c r="B2600" s="106">
        <v>450</v>
      </c>
      <c r="C2600" s="106">
        <v>525530</v>
      </c>
    </row>
    <row r="2601" spans="1:3">
      <c r="A2601" s="102">
        <v>42805</v>
      </c>
      <c r="B2601" s="106">
        <v>450</v>
      </c>
      <c r="C2601" s="106">
        <v>525530</v>
      </c>
    </row>
    <row r="2602" spans="1:3">
      <c r="A2602" s="102">
        <v>42806</v>
      </c>
      <c r="B2602" s="106">
        <v>450</v>
      </c>
      <c r="C2602" s="106">
        <v>525530</v>
      </c>
    </row>
    <row r="2603" spans="1:3">
      <c r="A2603" s="102">
        <v>42807</v>
      </c>
      <c r="B2603" s="106">
        <v>620</v>
      </c>
      <c r="C2603" s="106">
        <v>495394</v>
      </c>
    </row>
    <row r="2604" spans="1:3">
      <c r="A2604" s="102">
        <v>42808</v>
      </c>
      <c r="B2604" s="106">
        <v>976</v>
      </c>
      <c r="C2604" s="106">
        <v>531623</v>
      </c>
    </row>
    <row r="2605" spans="1:3">
      <c r="A2605" s="102">
        <v>42809</v>
      </c>
      <c r="B2605" s="106">
        <v>128</v>
      </c>
      <c r="C2605" s="106">
        <v>479352</v>
      </c>
    </row>
    <row r="2606" spans="1:3">
      <c r="A2606" s="102">
        <v>42810</v>
      </c>
      <c r="B2606" s="106">
        <v>157</v>
      </c>
      <c r="C2606" s="106">
        <v>451825</v>
      </c>
    </row>
    <row r="2607" spans="1:3">
      <c r="A2607" s="102">
        <v>42811</v>
      </c>
      <c r="B2607" s="106">
        <v>178</v>
      </c>
      <c r="C2607" s="106">
        <v>491283</v>
      </c>
    </row>
    <row r="2608" spans="1:3">
      <c r="A2608" s="102">
        <v>42812</v>
      </c>
      <c r="B2608" s="106">
        <v>178</v>
      </c>
      <c r="C2608" s="106">
        <v>491283</v>
      </c>
    </row>
    <row r="2609" spans="1:3">
      <c r="A2609" s="102">
        <v>42813</v>
      </c>
      <c r="B2609" s="106">
        <v>178</v>
      </c>
      <c r="C2609" s="106">
        <v>491283</v>
      </c>
    </row>
    <row r="2610" spans="1:3">
      <c r="A2610" s="102">
        <v>42814</v>
      </c>
      <c r="B2610" s="106">
        <v>176</v>
      </c>
      <c r="C2610" s="106">
        <v>496177</v>
      </c>
    </row>
    <row r="2611" spans="1:3">
      <c r="A2611" s="102">
        <v>42815</v>
      </c>
      <c r="B2611" s="106">
        <v>117</v>
      </c>
      <c r="C2611" s="106">
        <v>491547</v>
      </c>
    </row>
    <row r="2612" spans="1:3">
      <c r="A2612" s="102">
        <v>42816</v>
      </c>
      <c r="B2612" s="106">
        <v>232</v>
      </c>
      <c r="C2612" s="106">
        <v>490659</v>
      </c>
    </row>
    <row r="2613" spans="1:3">
      <c r="A2613" s="102">
        <v>42817</v>
      </c>
      <c r="B2613" s="106">
        <v>283</v>
      </c>
      <c r="C2613" s="106">
        <v>504286</v>
      </c>
    </row>
    <row r="2614" spans="1:3">
      <c r="A2614" s="102">
        <v>42818</v>
      </c>
      <c r="B2614" s="106">
        <v>325</v>
      </c>
      <c r="C2614" s="106">
        <v>508899</v>
      </c>
    </row>
    <row r="2615" spans="1:3">
      <c r="A2615" s="102">
        <v>42819</v>
      </c>
      <c r="B2615" s="106">
        <v>325</v>
      </c>
      <c r="C2615" s="106">
        <v>508899</v>
      </c>
    </row>
    <row r="2616" spans="1:3">
      <c r="A2616" s="102">
        <v>42820</v>
      </c>
      <c r="B2616" s="106">
        <v>325</v>
      </c>
      <c r="C2616" s="106">
        <v>508899</v>
      </c>
    </row>
    <row r="2617" spans="1:3">
      <c r="A2617" s="102">
        <v>42821</v>
      </c>
      <c r="B2617" s="106">
        <v>207</v>
      </c>
      <c r="C2617" s="106">
        <v>510408</v>
      </c>
    </row>
    <row r="2618" spans="1:3">
      <c r="A2618" s="102">
        <v>42822</v>
      </c>
      <c r="B2618" s="106">
        <v>319</v>
      </c>
      <c r="C2618" s="106">
        <v>521118</v>
      </c>
    </row>
    <row r="2619" spans="1:3">
      <c r="A2619" s="102">
        <v>42823</v>
      </c>
      <c r="B2619" s="106">
        <v>315</v>
      </c>
      <c r="C2619" s="106">
        <v>571060</v>
      </c>
    </row>
    <row r="2620" spans="1:3">
      <c r="A2620" s="102">
        <v>42824</v>
      </c>
      <c r="B2620" s="106">
        <v>110</v>
      </c>
      <c r="C2620" s="106">
        <v>582812</v>
      </c>
    </row>
    <row r="2621" spans="1:3">
      <c r="A2621" s="102">
        <v>42825</v>
      </c>
      <c r="B2621" s="106">
        <v>285</v>
      </c>
      <c r="C2621" s="106">
        <v>584014</v>
      </c>
    </row>
    <row r="2622" spans="1:3">
      <c r="A2622" s="102">
        <v>42826</v>
      </c>
      <c r="B2622" s="106">
        <v>285</v>
      </c>
      <c r="C2622" s="106">
        <v>584014</v>
      </c>
    </row>
    <row r="2623" spans="1:3">
      <c r="A2623" s="102">
        <v>42827</v>
      </c>
      <c r="B2623" s="106">
        <v>285</v>
      </c>
      <c r="C2623" s="106">
        <v>584014</v>
      </c>
    </row>
    <row r="2624" spans="1:3">
      <c r="A2624" s="102">
        <v>42828</v>
      </c>
      <c r="B2624" s="106">
        <v>212</v>
      </c>
      <c r="C2624" s="106">
        <v>566321</v>
      </c>
    </row>
    <row r="2625" spans="1:3">
      <c r="A2625" s="102">
        <v>42829</v>
      </c>
      <c r="B2625" s="106">
        <v>114</v>
      </c>
      <c r="C2625" s="106">
        <v>568447</v>
      </c>
    </row>
    <row r="2626" spans="1:3">
      <c r="A2626" s="102">
        <v>42830</v>
      </c>
      <c r="B2626" s="106">
        <v>256</v>
      </c>
      <c r="C2626" s="106">
        <v>575141</v>
      </c>
    </row>
    <row r="2627" spans="1:3">
      <c r="A2627" s="102">
        <v>42831</v>
      </c>
      <c r="B2627" s="106">
        <v>90</v>
      </c>
      <c r="C2627" s="106">
        <v>572961</v>
      </c>
    </row>
    <row r="2628" spans="1:3">
      <c r="A2628" s="102">
        <v>42832</v>
      </c>
      <c r="B2628" s="106">
        <v>131</v>
      </c>
      <c r="C2628" s="106">
        <v>588226</v>
      </c>
    </row>
    <row r="2629" spans="1:3">
      <c r="A2629" s="102">
        <v>42833</v>
      </c>
      <c r="B2629" s="106">
        <v>131</v>
      </c>
      <c r="C2629" s="106">
        <v>588226</v>
      </c>
    </row>
    <row r="2630" spans="1:3">
      <c r="A2630" s="102">
        <v>42834</v>
      </c>
      <c r="B2630" s="106">
        <v>131</v>
      </c>
      <c r="C2630" s="106">
        <v>588226</v>
      </c>
    </row>
    <row r="2631" spans="1:3">
      <c r="A2631" s="102">
        <v>42835</v>
      </c>
      <c r="B2631" s="106">
        <v>185</v>
      </c>
      <c r="C2631" s="106">
        <v>587935</v>
      </c>
    </row>
    <row r="2632" spans="1:3">
      <c r="A2632" s="102">
        <v>42836</v>
      </c>
      <c r="B2632" s="106">
        <v>265</v>
      </c>
      <c r="C2632" s="106">
        <v>573406</v>
      </c>
    </row>
    <row r="2633" spans="1:3">
      <c r="A2633" s="102">
        <v>42837</v>
      </c>
      <c r="B2633" s="106">
        <v>271</v>
      </c>
      <c r="C2633" s="106">
        <v>576624</v>
      </c>
    </row>
    <row r="2634" spans="1:3">
      <c r="A2634" s="102">
        <v>42838</v>
      </c>
      <c r="B2634" s="106">
        <v>721</v>
      </c>
      <c r="C2634" s="106">
        <v>563790</v>
      </c>
    </row>
    <row r="2635" spans="1:3">
      <c r="A2635" s="102">
        <v>42839</v>
      </c>
      <c r="B2635" s="106">
        <v>721</v>
      </c>
      <c r="C2635" s="106">
        <v>563790</v>
      </c>
    </row>
    <row r="2636" spans="1:3">
      <c r="A2636" s="102">
        <v>42840</v>
      </c>
      <c r="B2636" s="106">
        <v>721</v>
      </c>
      <c r="C2636" s="106">
        <v>563790</v>
      </c>
    </row>
    <row r="2637" spans="1:3">
      <c r="A2637" s="102">
        <v>42841</v>
      </c>
      <c r="B2637" s="106">
        <v>721</v>
      </c>
      <c r="C2637" s="106">
        <v>563790</v>
      </c>
    </row>
    <row r="2638" spans="1:3">
      <c r="A2638" s="102">
        <v>42842</v>
      </c>
      <c r="B2638" s="106">
        <v>721</v>
      </c>
      <c r="C2638" s="106">
        <v>563790</v>
      </c>
    </row>
    <row r="2639" spans="1:3">
      <c r="A2639" s="102">
        <v>42843</v>
      </c>
      <c r="B2639" s="106">
        <v>254</v>
      </c>
      <c r="C2639" s="106">
        <v>566618</v>
      </c>
    </row>
    <row r="2640" spans="1:3">
      <c r="A2640" s="102">
        <v>42844</v>
      </c>
      <c r="B2640" s="106">
        <v>206</v>
      </c>
      <c r="C2640" s="106">
        <v>557681</v>
      </c>
    </row>
    <row r="2641" spans="1:3">
      <c r="A2641" s="102">
        <v>42845</v>
      </c>
      <c r="B2641" s="106">
        <v>223</v>
      </c>
      <c r="C2641" s="106">
        <v>558663</v>
      </c>
    </row>
    <row r="2642" spans="1:3">
      <c r="A2642" s="102">
        <v>42846</v>
      </c>
      <c r="B2642" s="106">
        <v>218</v>
      </c>
      <c r="C2642" s="106">
        <v>558962</v>
      </c>
    </row>
    <row r="2643" spans="1:3">
      <c r="A2643" s="102">
        <v>42849</v>
      </c>
      <c r="B2643" s="106">
        <v>207</v>
      </c>
      <c r="C2643" s="106">
        <v>568768</v>
      </c>
    </row>
    <row r="2644" spans="1:3">
      <c r="A2644" s="102">
        <v>42850</v>
      </c>
      <c r="B2644" s="106">
        <v>120</v>
      </c>
      <c r="C2644" s="106">
        <v>556118</v>
      </c>
    </row>
    <row r="2645" spans="1:3">
      <c r="A2645" s="102">
        <v>42851</v>
      </c>
      <c r="B2645" s="106">
        <v>313</v>
      </c>
      <c r="C2645" s="106">
        <v>556173</v>
      </c>
    </row>
    <row r="2646" spans="1:3">
      <c r="A2646" s="102">
        <v>42852</v>
      </c>
      <c r="B2646" s="106">
        <v>259</v>
      </c>
      <c r="C2646" s="106">
        <v>551428</v>
      </c>
    </row>
    <row r="2647" spans="1:3">
      <c r="A2647" s="102">
        <v>42853</v>
      </c>
      <c r="B2647" s="106">
        <v>361</v>
      </c>
      <c r="C2647" s="106">
        <v>576420</v>
      </c>
    </row>
    <row r="2648" spans="1:3">
      <c r="A2648" s="102">
        <v>42854</v>
      </c>
      <c r="B2648" s="106">
        <v>361</v>
      </c>
      <c r="C2648" s="106">
        <v>576420</v>
      </c>
    </row>
    <row r="2649" spans="1:3">
      <c r="A2649" s="102">
        <v>42855</v>
      </c>
      <c r="B2649" s="106">
        <v>361</v>
      </c>
      <c r="C2649" s="106">
        <v>576420</v>
      </c>
    </row>
    <row r="2650" spans="1:3">
      <c r="A2650" s="102">
        <v>42856</v>
      </c>
      <c r="B2650" s="106">
        <v>361</v>
      </c>
      <c r="C2650" s="106">
        <v>576420</v>
      </c>
    </row>
    <row r="2651" spans="1:3">
      <c r="A2651" s="102">
        <v>42857</v>
      </c>
      <c r="B2651" s="106">
        <v>356</v>
      </c>
      <c r="C2651" s="106">
        <v>593806</v>
      </c>
    </row>
    <row r="2652" spans="1:3">
      <c r="A2652" s="102">
        <v>42858</v>
      </c>
      <c r="B2652" s="106">
        <v>340</v>
      </c>
      <c r="C2652" s="106">
        <v>550160</v>
      </c>
    </row>
    <row r="2653" spans="1:3">
      <c r="A2653" s="102">
        <v>42859</v>
      </c>
      <c r="B2653" s="106">
        <v>312</v>
      </c>
      <c r="C2653" s="106">
        <v>552322</v>
      </c>
    </row>
    <row r="2654" spans="1:3">
      <c r="A2654" s="102">
        <v>42860</v>
      </c>
      <c r="B2654" s="106">
        <v>296</v>
      </c>
      <c r="C2654" s="106">
        <v>600364</v>
      </c>
    </row>
    <row r="2655" spans="1:3">
      <c r="A2655" s="102">
        <v>42861</v>
      </c>
      <c r="B2655" s="106">
        <v>296</v>
      </c>
      <c r="C2655" s="106">
        <v>600364</v>
      </c>
    </row>
    <row r="2656" spans="1:3">
      <c r="A2656" s="102">
        <v>42862</v>
      </c>
      <c r="B2656" s="106">
        <v>296</v>
      </c>
      <c r="C2656" s="106">
        <v>600364</v>
      </c>
    </row>
    <row r="2657" spans="1:3">
      <c r="A2657" s="102">
        <v>42863</v>
      </c>
      <c r="B2657" s="106">
        <v>291</v>
      </c>
      <c r="C2657" s="106">
        <v>596327</v>
      </c>
    </row>
    <row r="2658" spans="1:3">
      <c r="A2658" s="102">
        <v>42864</v>
      </c>
      <c r="B2658" s="106">
        <v>342</v>
      </c>
      <c r="C2658" s="106">
        <v>602316</v>
      </c>
    </row>
    <row r="2659" spans="1:3">
      <c r="A2659" s="102">
        <v>42865</v>
      </c>
      <c r="B2659" s="106">
        <v>232</v>
      </c>
      <c r="C2659" s="106">
        <v>588607</v>
      </c>
    </row>
    <row r="2660" spans="1:3">
      <c r="A2660" s="102">
        <v>42866</v>
      </c>
      <c r="B2660" s="106">
        <v>288</v>
      </c>
      <c r="C2660" s="106">
        <v>599038</v>
      </c>
    </row>
    <row r="2661" spans="1:3">
      <c r="A2661" s="102">
        <v>42867</v>
      </c>
      <c r="B2661" s="106">
        <v>248</v>
      </c>
      <c r="C2661" s="106">
        <v>600693</v>
      </c>
    </row>
    <row r="2662" spans="1:3">
      <c r="A2662" s="102">
        <v>42868</v>
      </c>
      <c r="B2662" s="106">
        <v>248</v>
      </c>
      <c r="C2662" s="106">
        <v>600693</v>
      </c>
    </row>
    <row r="2663" spans="1:3">
      <c r="A2663" s="102">
        <v>42869</v>
      </c>
      <c r="B2663" s="106">
        <v>248</v>
      </c>
      <c r="C2663" s="106">
        <v>600693</v>
      </c>
    </row>
    <row r="2664" spans="1:3">
      <c r="A2664" s="102">
        <v>42870</v>
      </c>
      <c r="B2664" s="106">
        <v>271</v>
      </c>
      <c r="C2664" s="106">
        <v>598670</v>
      </c>
    </row>
    <row r="2665" spans="1:3">
      <c r="A2665" s="102">
        <v>42871</v>
      </c>
      <c r="B2665" s="106">
        <v>191</v>
      </c>
      <c r="C2665" s="106">
        <v>597605</v>
      </c>
    </row>
    <row r="2666" spans="1:3">
      <c r="A2666" s="102">
        <v>42872</v>
      </c>
      <c r="B2666" s="106">
        <v>97</v>
      </c>
      <c r="C2666" s="106">
        <v>591748</v>
      </c>
    </row>
    <row r="2667" spans="1:3">
      <c r="A2667" s="102">
        <v>42873</v>
      </c>
      <c r="B2667" s="106">
        <v>137</v>
      </c>
      <c r="C2667" s="106">
        <v>573384</v>
      </c>
    </row>
    <row r="2668" spans="1:3">
      <c r="A2668" s="102">
        <v>42874</v>
      </c>
      <c r="B2668" s="106">
        <v>216</v>
      </c>
      <c r="C2668" s="106">
        <v>590723</v>
      </c>
    </row>
    <row r="2669" spans="1:3">
      <c r="A2669" s="102">
        <v>42875</v>
      </c>
      <c r="B2669" s="106">
        <v>216</v>
      </c>
      <c r="C2669" s="106">
        <v>590723</v>
      </c>
    </row>
    <row r="2670" spans="1:3">
      <c r="A2670" s="102">
        <v>42876</v>
      </c>
      <c r="B2670" s="106">
        <v>216</v>
      </c>
      <c r="C2670" s="106">
        <v>590723</v>
      </c>
    </row>
    <row r="2671" spans="1:3">
      <c r="A2671" s="102">
        <v>42877</v>
      </c>
      <c r="B2671" s="106">
        <v>212</v>
      </c>
      <c r="C2671" s="106">
        <v>591519</v>
      </c>
    </row>
    <row r="2672" spans="1:3">
      <c r="A2672" s="102">
        <v>42878</v>
      </c>
      <c r="B2672" s="106">
        <v>130</v>
      </c>
      <c r="C2672" s="106">
        <v>582185</v>
      </c>
    </row>
    <row r="2673" spans="1:3">
      <c r="A2673" s="102">
        <v>42879</v>
      </c>
      <c r="B2673" s="106">
        <v>186</v>
      </c>
      <c r="C2673" s="106">
        <v>591555</v>
      </c>
    </row>
    <row r="2674" spans="1:3">
      <c r="A2674" s="102">
        <v>42880</v>
      </c>
      <c r="B2674" s="106">
        <v>204</v>
      </c>
      <c r="C2674" s="106">
        <v>560415</v>
      </c>
    </row>
    <row r="2675" spans="1:3">
      <c r="A2675" s="102">
        <v>42881</v>
      </c>
      <c r="B2675" s="106">
        <v>238</v>
      </c>
      <c r="C2675" s="106">
        <v>588886</v>
      </c>
    </row>
    <row r="2676" spans="1:3">
      <c r="A2676" s="102">
        <v>42882</v>
      </c>
      <c r="B2676" s="106">
        <v>238</v>
      </c>
      <c r="C2676" s="106">
        <v>588886</v>
      </c>
    </row>
    <row r="2677" spans="1:3">
      <c r="A2677" s="102">
        <v>42883</v>
      </c>
      <c r="B2677" s="106">
        <v>238</v>
      </c>
      <c r="C2677" s="106">
        <v>588886</v>
      </c>
    </row>
    <row r="2678" spans="1:3">
      <c r="A2678" s="102">
        <v>42884</v>
      </c>
      <c r="B2678" s="106">
        <v>242</v>
      </c>
      <c r="C2678" s="106">
        <v>585821</v>
      </c>
    </row>
    <row r="2679" spans="1:3">
      <c r="A2679" s="102">
        <v>42885</v>
      </c>
      <c r="B2679" s="106">
        <v>148</v>
      </c>
      <c r="C2679" s="106">
        <v>584098</v>
      </c>
    </row>
    <row r="2680" spans="1:3">
      <c r="A2680" s="102">
        <v>42886</v>
      </c>
      <c r="B2680" s="106">
        <v>177</v>
      </c>
      <c r="C2680" s="106">
        <v>599431</v>
      </c>
    </row>
    <row r="2681" spans="1:3">
      <c r="A2681" s="102">
        <v>42887</v>
      </c>
      <c r="B2681" s="106">
        <v>327</v>
      </c>
      <c r="C2681" s="106">
        <v>603473</v>
      </c>
    </row>
    <row r="2682" spans="1:3">
      <c r="A2682" s="102">
        <v>42888</v>
      </c>
      <c r="B2682" s="106">
        <v>262</v>
      </c>
      <c r="C2682" s="106">
        <v>601972</v>
      </c>
    </row>
    <row r="2683" spans="1:3">
      <c r="A2683" s="102">
        <v>42889</v>
      </c>
      <c r="B2683" s="106">
        <v>262</v>
      </c>
      <c r="C2683" s="106">
        <v>601972</v>
      </c>
    </row>
    <row r="2684" spans="1:3">
      <c r="A2684" s="102">
        <v>42890</v>
      </c>
      <c r="B2684" s="106">
        <v>262</v>
      </c>
      <c r="C2684" s="106">
        <v>601972</v>
      </c>
    </row>
    <row r="2685" spans="1:3">
      <c r="A2685" s="102">
        <v>42891</v>
      </c>
      <c r="B2685" s="106">
        <v>221</v>
      </c>
      <c r="C2685" s="106">
        <v>592589</v>
      </c>
    </row>
    <row r="2686" spans="1:3">
      <c r="A2686" s="102">
        <v>42892</v>
      </c>
      <c r="B2686" s="106">
        <v>285</v>
      </c>
      <c r="C2686" s="106">
        <v>597568</v>
      </c>
    </row>
    <row r="2687" spans="1:3">
      <c r="A2687" s="102">
        <v>42893</v>
      </c>
      <c r="B2687" s="106">
        <v>257</v>
      </c>
      <c r="C2687" s="106">
        <v>608444</v>
      </c>
    </row>
    <row r="2688" spans="1:3">
      <c r="A2688" s="102">
        <v>42894</v>
      </c>
      <c r="B2688" s="106">
        <v>143</v>
      </c>
      <c r="C2688" s="106">
        <v>614924</v>
      </c>
    </row>
    <row r="2689" spans="1:3">
      <c r="A2689" s="102">
        <v>42895</v>
      </c>
      <c r="B2689" s="106">
        <v>122</v>
      </c>
      <c r="C2689" s="106">
        <v>601306</v>
      </c>
    </row>
    <row r="2690" spans="1:3">
      <c r="A2690" s="102">
        <v>42896</v>
      </c>
      <c r="B2690" s="106">
        <v>122</v>
      </c>
      <c r="C2690" s="106">
        <v>601306</v>
      </c>
    </row>
    <row r="2691" spans="1:3">
      <c r="A2691" s="102">
        <v>42897</v>
      </c>
      <c r="B2691" s="106">
        <v>122</v>
      </c>
      <c r="C2691" s="106">
        <v>601306</v>
      </c>
    </row>
    <row r="2692" spans="1:3">
      <c r="A2692" s="102">
        <v>42898</v>
      </c>
      <c r="B2692" s="106">
        <v>85</v>
      </c>
      <c r="C2692" s="106">
        <v>610493</v>
      </c>
    </row>
    <row r="2693" spans="1:3">
      <c r="A2693" s="102">
        <v>42899</v>
      </c>
      <c r="B2693" s="106">
        <v>178</v>
      </c>
      <c r="C2693" s="106">
        <v>612271</v>
      </c>
    </row>
    <row r="2694" spans="1:3">
      <c r="A2694" s="102">
        <v>42900</v>
      </c>
      <c r="B2694" s="106">
        <v>180</v>
      </c>
      <c r="C2694" s="106">
        <v>571116</v>
      </c>
    </row>
    <row r="2695" spans="1:3">
      <c r="A2695" s="102">
        <v>42901</v>
      </c>
      <c r="B2695" s="106">
        <v>226</v>
      </c>
      <c r="C2695" s="106">
        <v>566068</v>
      </c>
    </row>
    <row r="2696" spans="1:3">
      <c r="A2696" s="102">
        <v>42902</v>
      </c>
      <c r="B2696" s="106">
        <v>339</v>
      </c>
      <c r="C2696" s="106">
        <v>607801</v>
      </c>
    </row>
    <row r="2697" spans="1:3">
      <c r="A2697" s="102">
        <v>42905</v>
      </c>
      <c r="B2697" s="106">
        <v>338</v>
      </c>
      <c r="C2697" s="106">
        <v>599900</v>
      </c>
    </row>
    <row r="2698" spans="1:3">
      <c r="A2698" s="102">
        <v>42906</v>
      </c>
      <c r="B2698" s="106">
        <v>380</v>
      </c>
      <c r="C2698" s="106">
        <v>581299</v>
      </c>
    </row>
    <row r="2699" spans="1:3">
      <c r="A2699" s="102">
        <v>42907</v>
      </c>
      <c r="B2699" s="106">
        <v>203</v>
      </c>
      <c r="C2699" s="106">
        <v>580507</v>
      </c>
    </row>
    <row r="2700" spans="1:3">
      <c r="A2700" s="102">
        <v>42908</v>
      </c>
      <c r="B2700" s="106">
        <v>253</v>
      </c>
      <c r="C2700" s="106">
        <v>584167</v>
      </c>
    </row>
    <row r="2701" spans="1:3">
      <c r="A2701" s="102">
        <v>42909</v>
      </c>
      <c r="B2701" s="106">
        <v>339</v>
      </c>
      <c r="C2701" s="106">
        <v>577234</v>
      </c>
    </row>
    <row r="2702" spans="1:3">
      <c r="A2702" s="102">
        <v>42912</v>
      </c>
      <c r="B2702" s="106">
        <v>486</v>
      </c>
      <c r="C2702" s="106">
        <v>585212</v>
      </c>
    </row>
    <row r="2703" spans="1:3">
      <c r="A2703" s="102">
        <v>42913</v>
      </c>
      <c r="B2703" s="106">
        <v>192</v>
      </c>
      <c r="C2703" s="106">
        <v>581275</v>
      </c>
    </row>
    <row r="2704" spans="1:3">
      <c r="A2704" s="102">
        <v>42914</v>
      </c>
      <c r="B2704" s="106">
        <v>100</v>
      </c>
      <c r="C2704" s="106">
        <v>592527</v>
      </c>
    </row>
    <row r="2705" spans="1:3">
      <c r="A2705" s="102">
        <v>42915</v>
      </c>
      <c r="B2705" s="106">
        <v>126</v>
      </c>
      <c r="C2705" s="106">
        <v>595900</v>
      </c>
    </row>
    <row r="2706" spans="1:3">
      <c r="A2706" s="102">
        <v>42916</v>
      </c>
      <c r="B2706" s="106">
        <v>302</v>
      </c>
      <c r="C2706" s="106">
        <v>616974</v>
      </c>
    </row>
    <row r="2707" spans="1:3">
      <c r="A2707" s="102">
        <v>42917</v>
      </c>
      <c r="B2707" s="106">
        <v>302</v>
      </c>
      <c r="C2707" s="106">
        <v>616974</v>
      </c>
    </row>
    <row r="2708" spans="1:3">
      <c r="A2708" s="102">
        <v>42918</v>
      </c>
      <c r="B2708" s="106">
        <v>302</v>
      </c>
      <c r="C2708" s="106">
        <v>616974</v>
      </c>
    </row>
    <row r="2709" spans="1:3">
      <c r="A2709" s="102">
        <v>42919</v>
      </c>
      <c r="B2709" s="106">
        <v>315</v>
      </c>
      <c r="C2709" s="106">
        <v>593409</v>
      </c>
    </row>
    <row r="2710" spans="1:3">
      <c r="A2710" s="102">
        <v>42920</v>
      </c>
      <c r="B2710" s="106">
        <v>124</v>
      </c>
      <c r="C2710" s="106">
        <v>600112</v>
      </c>
    </row>
    <row r="2711" spans="1:3">
      <c r="A2711" s="102">
        <v>42921</v>
      </c>
      <c r="B2711" s="106">
        <v>136</v>
      </c>
      <c r="C2711" s="106">
        <v>611004</v>
      </c>
    </row>
    <row r="2712" spans="1:3">
      <c r="A2712" s="102">
        <v>42922</v>
      </c>
      <c r="B2712" s="106">
        <v>187</v>
      </c>
      <c r="C2712" s="106">
        <v>612966</v>
      </c>
    </row>
    <row r="2713" spans="1:3">
      <c r="A2713" s="102">
        <v>42923</v>
      </c>
      <c r="B2713" s="106">
        <v>148</v>
      </c>
      <c r="C2713" s="106">
        <v>620672</v>
      </c>
    </row>
    <row r="2714" spans="1:3">
      <c r="A2714" s="102">
        <v>42924</v>
      </c>
      <c r="B2714" s="106">
        <v>148</v>
      </c>
      <c r="C2714" s="106">
        <v>620672</v>
      </c>
    </row>
    <row r="2715" spans="1:3">
      <c r="A2715" s="102">
        <v>42925</v>
      </c>
      <c r="B2715" s="106">
        <v>148</v>
      </c>
      <c r="C2715" s="106">
        <v>620672</v>
      </c>
    </row>
    <row r="2716" spans="1:3">
      <c r="A2716" s="102">
        <v>42926</v>
      </c>
      <c r="B2716" s="106">
        <v>153</v>
      </c>
      <c r="C2716" s="106">
        <v>629744</v>
      </c>
    </row>
    <row r="2717" spans="1:3">
      <c r="A2717" s="102">
        <v>42927</v>
      </c>
      <c r="B2717" s="106">
        <v>258</v>
      </c>
      <c r="C2717" s="106">
        <v>621402</v>
      </c>
    </row>
    <row r="2718" spans="1:3">
      <c r="A2718" s="102">
        <v>42928</v>
      </c>
      <c r="B2718" s="106">
        <v>214</v>
      </c>
      <c r="C2718" s="106">
        <v>607234</v>
      </c>
    </row>
    <row r="2719" spans="1:3">
      <c r="A2719" s="102">
        <v>42929</v>
      </c>
      <c r="B2719" s="106">
        <v>230</v>
      </c>
      <c r="C2719" s="106">
        <v>574127</v>
      </c>
    </row>
    <row r="2720" spans="1:3">
      <c r="A2720" s="102">
        <v>42930</v>
      </c>
      <c r="B2720" s="106">
        <v>192</v>
      </c>
      <c r="C2720" s="106">
        <v>594661</v>
      </c>
    </row>
    <row r="2721" spans="1:3">
      <c r="A2721" s="102">
        <v>42931</v>
      </c>
      <c r="B2721" s="106">
        <v>192</v>
      </c>
      <c r="C2721" s="106">
        <v>594661</v>
      </c>
    </row>
    <row r="2722" spans="1:3">
      <c r="A2722" s="102">
        <v>42932</v>
      </c>
      <c r="B2722" s="106">
        <v>192</v>
      </c>
      <c r="C2722" s="106">
        <v>594661</v>
      </c>
    </row>
    <row r="2723" spans="1:3">
      <c r="A2723" s="102">
        <v>42933</v>
      </c>
      <c r="B2723" s="106">
        <v>60</v>
      </c>
      <c r="C2723" s="106">
        <v>603784</v>
      </c>
    </row>
    <row r="2724" spans="1:3">
      <c r="A2724" s="102">
        <v>42934</v>
      </c>
      <c r="B2724" s="106">
        <v>111</v>
      </c>
      <c r="C2724" s="106">
        <v>587784</v>
      </c>
    </row>
    <row r="2725" spans="1:3">
      <c r="A2725" s="102">
        <v>42935</v>
      </c>
      <c r="B2725" s="106">
        <v>208</v>
      </c>
      <c r="C2725" s="106">
        <v>590565</v>
      </c>
    </row>
    <row r="2726" spans="1:3">
      <c r="A2726" s="102">
        <v>42936</v>
      </c>
      <c r="B2726" s="106">
        <v>272</v>
      </c>
      <c r="C2726" s="106">
        <v>571750</v>
      </c>
    </row>
    <row r="2727" spans="1:3">
      <c r="A2727" s="102">
        <v>42937</v>
      </c>
      <c r="B2727" s="106">
        <v>196</v>
      </c>
      <c r="C2727" s="106">
        <v>577182</v>
      </c>
    </row>
    <row r="2728" spans="1:3">
      <c r="A2728" s="102">
        <v>42940</v>
      </c>
      <c r="B2728" s="106">
        <v>250</v>
      </c>
      <c r="C2728" s="106">
        <v>578930</v>
      </c>
    </row>
    <row r="2729" spans="1:3">
      <c r="A2729" s="102">
        <v>42941</v>
      </c>
      <c r="B2729" s="106">
        <v>469</v>
      </c>
      <c r="C2729" s="106">
        <v>599360</v>
      </c>
    </row>
    <row r="2730" spans="1:3">
      <c r="A2730" s="102">
        <v>42942</v>
      </c>
      <c r="B2730" s="106">
        <v>1216</v>
      </c>
      <c r="C2730" s="106">
        <v>559407</v>
      </c>
    </row>
    <row r="2731" spans="1:3">
      <c r="A2731" s="102">
        <v>42943</v>
      </c>
      <c r="B2731" s="106">
        <v>225</v>
      </c>
      <c r="C2731" s="106">
        <v>554305</v>
      </c>
    </row>
    <row r="2732" spans="1:3">
      <c r="A2732" s="102">
        <v>42944</v>
      </c>
      <c r="B2732" s="106">
        <v>207</v>
      </c>
      <c r="C2732" s="106">
        <v>583494</v>
      </c>
    </row>
    <row r="2733" spans="1:3">
      <c r="A2733" s="102">
        <v>42947</v>
      </c>
      <c r="B2733" s="106">
        <v>253</v>
      </c>
      <c r="C2733" s="106">
        <v>607766</v>
      </c>
    </row>
    <row r="2734" spans="1:3">
      <c r="A2734" s="102">
        <v>42948</v>
      </c>
      <c r="B2734" s="106">
        <v>70</v>
      </c>
      <c r="C2734" s="106">
        <v>632382</v>
      </c>
    </row>
    <row r="2735" spans="1:3">
      <c r="A2735" s="102">
        <v>42949</v>
      </c>
      <c r="B2735" s="106">
        <v>253</v>
      </c>
      <c r="C2735" s="106">
        <v>634972</v>
      </c>
    </row>
    <row r="2736" spans="1:3">
      <c r="A2736" s="102">
        <v>42950</v>
      </c>
      <c r="B2736" s="106">
        <v>247</v>
      </c>
      <c r="C2736" s="106">
        <v>624933</v>
      </c>
    </row>
    <row r="2737" spans="1:3">
      <c r="A2737" s="102">
        <v>42951</v>
      </c>
      <c r="B2737" s="106">
        <v>174</v>
      </c>
      <c r="C2737" s="106">
        <v>621322</v>
      </c>
    </row>
    <row r="2738" spans="1:3">
      <c r="A2738" s="102">
        <v>42952</v>
      </c>
      <c r="B2738" s="106">
        <v>174</v>
      </c>
      <c r="C2738" s="106">
        <v>621322</v>
      </c>
    </row>
    <row r="2739" spans="1:3">
      <c r="A2739" s="102">
        <v>42953</v>
      </c>
      <c r="B2739" s="106">
        <v>174</v>
      </c>
      <c r="C2739" s="106">
        <v>621322</v>
      </c>
    </row>
    <row r="2740" spans="1:3">
      <c r="A2740" s="102">
        <v>42954</v>
      </c>
      <c r="B2740" s="106">
        <v>257</v>
      </c>
      <c r="C2740" s="106">
        <v>628054</v>
      </c>
    </row>
    <row r="2741" spans="1:3">
      <c r="A2741" s="102">
        <v>42955</v>
      </c>
      <c r="B2741" s="106">
        <v>197</v>
      </c>
      <c r="C2741" s="106">
        <v>617719</v>
      </c>
    </row>
    <row r="2742" spans="1:3">
      <c r="A2742" s="102">
        <v>42956</v>
      </c>
      <c r="B2742" s="106">
        <v>97</v>
      </c>
      <c r="C2742" s="106">
        <v>616349</v>
      </c>
    </row>
    <row r="2743" spans="1:3">
      <c r="A2743" s="102">
        <v>42957</v>
      </c>
      <c r="B2743" s="106">
        <v>116</v>
      </c>
      <c r="C2743" s="106">
        <v>627956</v>
      </c>
    </row>
    <row r="2744" spans="1:3">
      <c r="A2744" s="102">
        <v>42958</v>
      </c>
      <c r="B2744" s="106">
        <v>189</v>
      </c>
      <c r="C2744" s="106">
        <v>629418</v>
      </c>
    </row>
    <row r="2745" spans="1:3">
      <c r="A2745" s="102">
        <v>42959</v>
      </c>
      <c r="B2745" s="106">
        <v>189</v>
      </c>
      <c r="C2745" s="106">
        <v>629418</v>
      </c>
    </row>
    <row r="2746" spans="1:3">
      <c r="A2746" s="102">
        <v>42960</v>
      </c>
      <c r="B2746" s="106">
        <v>189</v>
      </c>
      <c r="C2746" s="106">
        <v>629418</v>
      </c>
    </row>
    <row r="2747" spans="1:3">
      <c r="A2747" s="102">
        <v>42961</v>
      </c>
      <c r="B2747" s="106">
        <v>427</v>
      </c>
      <c r="C2747" s="106">
        <v>618435</v>
      </c>
    </row>
    <row r="2748" spans="1:3">
      <c r="A2748" s="102">
        <v>42962</v>
      </c>
      <c r="B2748" s="106">
        <v>94</v>
      </c>
      <c r="C2748" s="106">
        <v>608977</v>
      </c>
    </row>
    <row r="2749" spans="1:3">
      <c r="A2749" s="102">
        <v>42963</v>
      </c>
      <c r="B2749" s="106">
        <v>174</v>
      </c>
      <c r="C2749" s="106">
        <v>585198</v>
      </c>
    </row>
    <row r="2750" spans="1:3">
      <c r="A2750" s="102">
        <v>42964</v>
      </c>
      <c r="B2750" s="106">
        <v>123</v>
      </c>
      <c r="C2750" s="106">
        <v>586742</v>
      </c>
    </row>
    <row r="2751" spans="1:3">
      <c r="A2751" s="102">
        <v>42965</v>
      </c>
      <c r="B2751" s="106">
        <v>157</v>
      </c>
      <c r="C2751" s="106">
        <v>597654</v>
      </c>
    </row>
    <row r="2752" spans="1:3">
      <c r="A2752" s="102">
        <v>42966</v>
      </c>
      <c r="B2752" s="106">
        <v>157</v>
      </c>
      <c r="C2752" s="106">
        <v>597654</v>
      </c>
    </row>
    <row r="2753" spans="1:3">
      <c r="A2753" s="102">
        <v>42967</v>
      </c>
      <c r="B2753" s="106">
        <v>157</v>
      </c>
      <c r="C2753" s="106">
        <v>597654</v>
      </c>
    </row>
    <row r="2754" spans="1:3">
      <c r="A2754" s="102">
        <v>42968</v>
      </c>
      <c r="B2754" s="106">
        <v>171</v>
      </c>
      <c r="C2754" s="106">
        <v>601713</v>
      </c>
    </row>
    <row r="2755" spans="1:3">
      <c r="A2755" s="102">
        <v>42969</v>
      </c>
      <c r="B2755" s="106">
        <v>202</v>
      </c>
      <c r="C2755" s="106">
        <v>596295</v>
      </c>
    </row>
    <row r="2756" spans="1:3">
      <c r="A2756" s="102">
        <v>42970</v>
      </c>
      <c r="B2756" s="106">
        <v>1085</v>
      </c>
      <c r="C2756" s="106">
        <v>596911</v>
      </c>
    </row>
    <row r="2757" spans="1:3">
      <c r="A2757" s="102">
        <v>42971</v>
      </c>
      <c r="B2757" s="106">
        <v>131</v>
      </c>
      <c r="C2757" s="106">
        <v>599506</v>
      </c>
    </row>
    <row r="2758" spans="1:3">
      <c r="A2758" s="102">
        <v>42972</v>
      </c>
      <c r="B2758" s="106">
        <v>310</v>
      </c>
      <c r="C2758" s="106">
        <v>593160</v>
      </c>
    </row>
    <row r="2759" spans="1:3">
      <c r="A2759" s="102">
        <v>42973</v>
      </c>
      <c r="B2759" s="106">
        <v>310</v>
      </c>
      <c r="C2759" s="106">
        <v>593160</v>
      </c>
    </row>
    <row r="2760" spans="1:3">
      <c r="A2760" s="102">
        <v>42974</v>
      </c>
      <c r="B2760" s="106">
        <v>310</v>
      </c>
      <c r="C2760" s="106">
        <v>593160</v>
      </c>
    </row>
    <row r="2761" spans="1:3">
      <c r="A2761" s="102">
        <v>42975</v>
      </c>
      <c r="B2761" s="106">
        <v>634</v>
      </c>
      <c r="C2761" s="106">
        <v>595467</v>
      </c>
    </row>
    <row r="2762" spans="1:3">
      <c r="A2762" s="102">
        <v>42976</v>
      </c>
      <c r="B2762" s="106">
        <v>640</v>
      </c>
      <c r="C2762" s="106">
        <v>603353</v>
      </c>
    </row>
    <row r="2763" spans="1:3">
      <c r="A2763" s="102">
        <v>42977</v>
      </c>
      <c r="B2763" s="106">
        <v>109</v>
      </c>
      <c r="C2763" s="106">
        <v>602393</v>
      </c>
    </row>
    <row r="2764" spans="1:3">
      <c r="A2764" s="102">
        <v>42978</v>
      </c>
      <c r="B2764" s="106">
        <v>250</v>
      </c>
      <c r="C2764" s="106">
        <v>605493</v>
      </c>
    </row>
    <row r="2765" spans="1:3">
      <c r="A2765" s="102">
        <v>42979</v>
      </c>
      <c r="B2765" s="106">
        <v>196</v>
      </c>
      <c r="C2765" s="106">
        <v>628279</v>
      </c>
    </row>
    <row r="2766" spans="1:3">
      <c r="A2766" s="102">
        <v>42980</v>
      </c>
      <c r="B2766" s="106">
        <v>196</v>
      </c>
      <c r="C2766" s="106">
        <v>628279</v>
      </c>
    </row>
    <row r="2767" spans="1:3">
      <c r="A2767" s="102">
        <v>42981</v>
      </c>
      <c r="B2767" s="106">
        <v>196</v>
      </c>
      <c r="C2767" s="106">
        <v>628279</v>
      </c>
    </row>
    <row r="2768" spans="1:3">
      <c r="A2768" s="102">
        <v>42982</v>
      </c>
      <c r="B2768" s="106">
        <v>106</v>
      </c>
      <c r="C2768" s="106">
        <v>632453</v>
      </c>
    </row>
    <row r="2769" spans="1:3">
      <c r="A2769" s="102">
        <v>42983</v>
      </c>
      <c r="B2769" s="106">
        <v>248</v>
      </c>
      <c r="C2769" s="106">
        <v>634996</v>
      </c>
    </row>
    <row r="2770" spans="1:3">
      <c r="A2770" s="102">
        <v>42984</v>
      </c>
      <c r="B2770" s="106">
        <v>1041</v>
      </c>
      <c r="C2770" s="106">
        <v>618686</v>
      </c>
    </row>
    <row r="2771" spans="1:3">
      <c r="A2771" s="102">
        <v>42985</v>
      </c>
      <c r="B2771" s="106">
        <v>1012</v>
      </c>
      <c r="C2771" s="106">
        <v>622663</v>
      </c>
    </row>
    <row r="2772" spans="1:3">
      <c r="A2772" s="102">
        <v>42986</v>
      </c>
      <c r="B2772" s="106">
        <v>142</v>
      </c>
      <c r="C2772" s="106">
        <v>635813</v>
      </c>
    </row>
    <row r="2773" spans="1:3">
      <c r="A2773" s="102">
        <v>42987</v>
      </c>
      <c r="B2773" s="106">
        <v>142</v>
      </c>
      <c r="C2773" s="106">
        <v>635813</v>
      </c>
    </row>
    <row r="2774" spans="1:3">
      <c r="A2774" s="102">
        <v>42988</v>
      </c>
      <c r="B2774" s="106">
        <v>142</v>
      </c>
      <c r="C2774" s="106">
        <v>635813</v>
      </c>
    </row>
    <row r="2775" spans="1:3">
      <c r="A2775" s="102">
        <v>42989</v>
      </c>
      <c r="B2775" s="106">
        <v>275</v>
      </c>
      <c r="C2775" s="106">
        <v>641788</v>
      </c>
    </row>
    <row r="2776" spans="1:3">
      <c r="A2776" s="102">
        <v>42990</v>
      </c>
      <c r="B2776" s="106">
        <v>118</v>
      </c>
      <c r="C2776" s="106">
        <v>638070</v>
      </c>
    </row>
    <row r="2777" spans="1:3">
      <c r="A2777" s="102">
        <v>42991</v>
      </c>
      <c r="B2777" s="106">
        <v>107</v>
      </c>
      <c r="C2777" s="106">
        <v>608520</v>
      </c>
    </row>
    <row r="2778" spans="1:3">
      <c r="A2778" s="102">
        <v>42992</v>
      </c>
      <c r="B2778" s="106">
        <v>115</v>
      </c>
      <c r="C2778" s="106">
        <v>595709</v>
      </c>
    </row>
    <row r="2779" spans="1:3">
      <c r="A2779" s="102">
        <v>42993</v>
      </c>
      <c r="B2779" s="106">
        <v>109</v>
      </c>
      <c r="C2779" s="106">
        <v>649010</v>
      </c>
    </row>
    <row r="2780" spans="1:3">
      <c r="A2780" s="102">
        <v>42994</v>
      </c>
      <c r="B2780" s="106">
        <v>109</v>
      </c>
      <c r="C2780" s="106">
        <v>649010</v>
      </c>
    </row>
    <row r="2781" spans="1:3">
      <c r="A2781" s="102">
        <v>42995</v>
      </c>
      <c r="B2781" s="106">
        <v>109</v>
      </c>
      <c r="C2781" s="106">
        <v>649010</v>
      </c>
    </row>
    <row r="2782" spans="1:3">
      <c r="A2782" s="102">
        <v>42996</v>
      </c>
      <c r="B2782" s="106">
        <v>102</v>
      </c>
      <c r="C2782" s="106">
        <v>656139</v>
      </c>
    </row>
    <row r="2783" spans="1:3">
      <c r="A2783" s="102">
        <v>42997</v>
      </c>
      <c r="B2783" s="106">
        <v>86</v>
      </c>
      <c r="C2783" s="106">
        <v>651226</v>
      </c>
    </row>
    <row r="2784" spans="1:3">
      <c r="A2784" s="102">
        <v>42998</v>
      </c>
      <c r="B2784" s="106">
        <v>137</v>
      </c>
      <c r="C2784" s="106">
        <v>648471</v>
      </c>
    </row>
    <row r="2785" spans="1:3">
      <c r="A2785" s="102">
        <v>42999</v>
      </c>
      <c r="B2785" s="106">
        <v>116</v>
      </c>
      <c r="C2785" s="106">
        <v>640488</v>
      </c>
    </row>
    <row r="2786" spans="1:3">
      <c r="A2786" s="102">
        <v>43003</v>
      </c>
      <c r="B2786" s="106">
        <v>114</v>
      </c>
      <c r="C2786" s="106">
        <v>639292</v>
      </c>
    </row>
    <row r="2787" spans="1:3">
      <c r="A2787" s="102">
        <v>43004</v>
      </c>
      <c r="B2787" s="106">
        <v>49</v>
      </c>
      <c r="C2787" s="106">
        <v>641250</v>
      </c>
    </row>
    <row r="2788" spans="1:3">
      <c r="A2788" s="102">
        <v>43005</v>
      </c>
      <c r="B2788" s="106">
        <v>131</v>
      </c>
      <c r="C2788" s="106">
        <v>631598</v>
      </c>
    </row>
    <row r="2789" spans="1:3">
      <c r="A2789" s="102">
        <v>43006</v>
      </c>
      <c r="B2789" s="106">
        <v>48</v>
      </c>
      <c r="C2789" s="106">
        <v>640468</v>
      </c>
    </row>
    <row r="2790" spans="1:3">
      <c r="A2790" s="102">
        <v>43007</v>
      </c>
      <c r="B2790" s="106">
        <v>169</v>
      </c>
      <c r="C2790" s="106">
        <v>648999</v>
      </c>
    </row>
    <row r="2791" spans="1:3">
      <c r="A2791" s="102">
        <v>43008</v>
      </c>
      <c r="B2791" s="106">
        <v>169</v>
      </c>
      <c r="C2791" s="106">
        <v>648999</v>
      </c>
    </row>
    <row r="2792" spans="1:3">
      <c r="A2792" s="102">
        <v>43009</v>
      </c>
      <c r="B2792" s="106">
        <v>169</v>
      </c>
      <c r="C2792" s="106">
        <v>648999</v>
      </c>
    </row>
    <row r="2793" spans="1:3">
      <c r="A2793" s="102">
        <v>43010</v>
      </c>
      <c r="B2793" s="106">
        <v>344</v>
      </c>
      <c r="C2793" s="106">
        <v>665140</v>
      </c>
    </row>
    <row r="2794" spans="1:3">
      <c r="A2794" s="102">
        <v>43011</v>
      </c>
      <c r="B2794" s="106">
        <v>497</v>
      </c>
      <c r="C2794" s="106">
        <v>658303</v>
      </c>
    </row>
    <row r="2795" spans="1:3">
      <c r="A2795" s="102">
        <v>43012</v>
      </c>
      <c r="B2795" s="106">
        <v>615</v>
      </c>
      <c r="C2795" s="106">
        <v>669511</v>
      </c>
    </row>
    <row r="2796" spans="1:3">
      <c r="A2796" s="102">
        <v>43013</v>
      </c>
      <c r="B2796" s="106">
        <v>567</v>
      </c>
      <c r="C2796" s="106">
        <v>668132</v>
      </c>
    </row>
    <row r="2797" spans="1:3">
      <c r="A2797" s="102">
        <v>43014</v>
      </c>
      <c r="B2797" s="106">
        <v>195</v>
      </c>
      <c r="C2797" s="106">
        <v>662890</v>
      </c>
    </row>
    <row r="2798" spans="1:3">
      <c r="A2798" s="102">
        <v>43015</v>
      </c>
      <c r="B2798" s="106">
        <v>185</v>
      </c>
      <c r="C2798" s="106">
        <v>659830</v>
      </c>
    </row>
    <row r="2799" spans="1:3">
      <c r="A2799" s="102">
        <v>43016</v>
      </c>
      <c r="B2799" s="106">
        <v>185</v>
      </c>
      <c r="C2799" s="106">
        <v>659830</v>
      </c>
    </row>
    <row r="2800" spans="1:3">
      <c r="A2800" s="102">
        <v>43017</v>
      </c>
      <c r="B2800" s="106">
        <v>185</v>
      </c>
      <c r="C2800" s="106">
        <v>659830</v>
      </c>
    </row>
    <row r="2801" spans="1:3">
      <c r="A2801" s="102">
        <v>43018</v>
      </c>
      <c r="B2801" s="106">
        <v>221</v>
      </c>
      <c r="C2801" s="106">
        <v>660781</v>
      </c>
    </row>
    <row r="2802" spans="1:3">
      <c r="A2802" s="102">
        <v>43019</v>
      </c>
      <c r="B2802" s="106">
        <v>161</v>
      </c>
      <c r="C2802" s="106">
        <v>663835</v>
      </c>
    </row>
    <row r="2803" spans="1:3">
      <c r="A2803" s="102">
        <v>43020</v>
      </c>
      <c r="B2803" s="106">
        <v>89</v>
      </c>
      <c r="C2803" s="106">
        <v>657254</v>
      </c>
    </row>
    <row r="2804" spans="1:3">
      <c r="A2804" s="102">
        <v>43021</v>
      </c>
      <c r="B2804" s="106">
        <v>118</v>
      </c>
      <c r="C2804" s="106">
        <v>658800</v>
      </c>
    </row>
    <row r="2805" spans="1:3">
      <c r="A2805" s="102">
        <v>43022</v>
      </c>
      <c r="B2805" s="106">
        <v>118</v>
      </c>
      <c r="C2805" s="106">
        <v>658800</v>
      </c>
    </row>
    <row r="2806" spans="1:3">
      <c r="A2806" s="102">
        <v>43023</v>
      </c>
      <c r="B2806" s="106">
        <v>118</v>
      </c>
      <c r="C2806" s="106">
        <v>658800</v>
      </c>
    </row>
    <row r="2807" spans="1:3">
      <c r="A2807" s="102">
        <v>43024</v>
      </c>
      <c r="B2807" s="106">
        <v>160</v>
      </c>
      <c r="C2807" s="106">
        <v>661399</v>
      </c>
    </row>
    <row r="2808" spans="1:3">
      <c r="A2808" s="102">
        <v>43025</v>
      </c>
      <c r="B2808" s="106">
        <v>320</v>
      </c>
      <c r="C2808" s="106">
        <v>650751</v>
      </c>
    </row>
    <row r="2809" spans="1:3">
      <c r="A2809" s="102">
        <v>43026</v>
      </c>
      <c r="B2809" s="106">
        <v>341</v>
      </c>
      <c r="C2809" s="106">
        <v>657031</v>
      </c>
    </row>
    <row r="2810" spans="1:3">
      <c r="A2810" s="102">
        <v>43027</v>
      </c>
      <c r="B2810" s="106">
        <v>338</v>
      </c>
      <c r="C2810" s="106">
        <v>642967</v>
      </c>
    </row>
    <row r="2811" spans="1:3">
      <c r="A2811" s="102">
        <v>43028</v>
      </c>
      <c r="B2811" s="106">
        <v>315</v>
      </c>
      <c r="C2811" s="106">
        <v>652036</v>
      </c>
    </row>
    <row r="2812" spans="1:3">
      <c r="A2812" s="102">
        <v>43029</v>
      </c>
      <c r="B2812" s="106">
        <v>315</v>
      </c>
      <c r="C2812" s="106">
        <v>652036</v>
      </c>
    </row>
    <row r="2813" spans="1:3">
      <c r="A2813" s="102">
        <v>43030</v>
      </c>
      <c r="B2813" s="106">
        <v>315</v>
      </c>
      <c r="C2813" s="106">
        <v>652036</v>
      </c>
    </row>
    <row r="2814" spans="1:3">
      <c r="A2814" s="102">
        <v>43031</v>
      </c>
      <c r="B2814" s="106">
        <v>417</v>
      </c>
      <c r="C2814" s="106">
        <v>643439</v>
      </c>
    </row>
    <row r="2815" spans="1:3">
      <c r="A2815" s="102">
        <v>43032</v>
      </c>
      <c r="B2815" s="106">
        <v>417</v>
      </c>
      <c r="C2815" s="106">
        <v>635472</v>
      </c>
    </row>
    <row r="2816" spans="1:3">
      <c r="A2816" s="102">
        <v>43033</v>
      </c>
      <c r="B2816" s="106">
        <v>133</v>
      </c>
      <c r="C2816" s="106">
        <v>647117</v>
      </c>
    </row>
    <row r="2817" spans="1:3">
      <c r="A2817" s="102">
        <v>43034</v>
      </c>
      <c r="B2817" s="106">
        <v>353</v>
      </c>
      <c r="C2817" s="106">
        <v>628204</v>
      </c>
    </row>
    <row r="2818" spans="1:3">
      <c r="A2818" s="102">
        <v>43035</v>
      </c>
      <c r="B2818" s="106">
        <v>328</v>
      </c>
      <c r="C2818" s="106">
        <v>638258</v>
      </c>
    </row>
    <row r="2819" spans="1:3">
      <c r="A2819" s="102">
        <v>43036</v>
      </c>
      <c r="B2819" s="106">
        <v>328</v>
      </c>
      <c r="C2819" s="106">
        <v>638258</v>
      </c>
    </row>
    <row r="2820" spans="1:3">
      <c r="A2820" s="102">
        <v>43037</v>
      </c>
      <c r="B2820" s="106">
        <v>328</v>
      </c>
      <c r="C2820" s="106">
        <v>638258</v>
      </c>
    </row>
    <row r="2821" spans="1:3">
      <c r="A2821" s="102">
        <v>43038</v>
      </c>
      <c r="B2821" s="106">
        <v>431</v>
      </c>
      <c r="C2821" s="106">
        <v>649243</v>
      </c>
    </row>
    <row r="2822" spans="1:3">
      <c r="A2822" s="102">
        <v>43039</v>
      </c>
      <c r="B2822" s="106">
        <v>172</v>
      </c>
      <c r="C2822" s="106">
        <v>611787</v>
      </c>
    </row>
    <row r="2823" spans="1:3">
      <c r="A2823" s="102">
        <v>43040</v>
      </c>
      <c r="B2823" s="106">
        <v>237</v>
      </c>
      <c r="C2823" s="106">
        <v>609643</v>
      </c>
    </row>
    <row r="2824" spans="1:3">
      <c r="A2824" s="102">
        <v>43041</v>
      </c>
      <c r="B2824" s="106">
        <v>188</v>
      </c>
      <c r="C2824" s="106">
        <v>631813</v>
      </c>
    </row>
    <row r="2825" spans="1:3">
      <c r="A2825" s="102">
        <v>43042</v>
      </c>
      <c r="B2825" s="106">
        <v>168</v>
      </c>
      <c r="C2825" s="106">
        <v>670618</v>
      </c>
    </row>
    <row r="2826" spans="1:3">
      <c r="A2826" s="102">
        <v>43043</v>
      </c>
      <c r="B2826" s="106">
        <v>168</v>
      </c>
      <c r="C2826" s="106">
        <v>670618</v>
      </c>
    </row>
    <row r="2827" spans="1:3">
      <c r="A2827" s="102">
        <v>43044</v>
      </c>
      <c r="B2827" s="106">
        <v>168</v>
      </c>
      <c r="C2827" s="106">
        <v>670618</v>
      </c>
    </row>
    <row r="2828" spans="1:3">
      <c r="A2828" s="102">
        <v>43045</v>
      </c>
      <c r="B2828" s="106">
        <v>197</v>
      </c>
      <c r="C2828" s="106">
        <v>685206</v>
      </c>
    </row>
    <row r="2829" spans="1:3">
      <c r="A2829" s="102">
        <v>43046</v>
      </c>
      <c r="B2829" s="106">
        <v>238</v>
      </c>
      <c r="C2829" s="106">
        <v>672627</v>
      </c>
    </row>
    <row r="2830" spans="1:3">
      <c r="A2830" s="102">
        <v>43047</v>
      </c>
      <c r="B2830" s="106">
        <v>515</v>
      </c>
      <c r="C2830" s="106">
        <v>680692</v>
      </c>
    </row>
    <row r="2831" spans="1:3">
      <c r="A2831" s="102">
        <v>43048</v>
      </c>
      <c r="B2831" s="106">
        <v>532</v>
      </c>
      <c r="C2831" s="106">
        <v>645256</v>
      </c>
    </row>
    <row r="2832" spans="1:3">
      <c r="A2832" s="102">
        <v>43049</v>
      </c>
      <c r="B2832" s="106">
        <v>118</v>
      </c>
      <c r="C2832" s="106">
        <v>679038</v>
      </c>
    </row>
    <row r="2833" spans="1:3">
      <c r="A2833" s="102">
        <v>43050</v>
      </c>
      <c r="B2833" s="106">
        <v>118</v>
      </c>
      <c r="C2833" s="106">
        <v>679038</v>
      </c>
    </row>
    <row r="2834" spans="1:3">
      <c r="A2834" s="102">
        <v>43051</v>
      </c>
      <c r="B2834" s="106">
        <v>118</v>
      </c>
      <c r="C2834" s="106">
        <v>679038</v>
      </c>
    </row>
    <row r="2835" spans="1:3">
      <c r="A2835" s="102">
        <v>43052</v>
      </c>
      <c r="B2835" s="106">
        <v>96</v>
      </c>
      <c r="C2835" s="106">
        <v>693608</v>
      </c>
    </row>
    <row r="2836" spans="1:3">
      <c r="A2836" s="102">
        <v>43053</v>
      </c>
      <c r="B2836" s="106">
        <v>194</v>
      </c>
      <c r="C2836" s="106">
        <v>695498</v>
      </c>
    </row>
    <row r="2837" spans="1:3">
      <c r="A2837" s="102">
        <v>43054</v>
      </c>
      <c r="B2837" s="106">
        <v>189</v>
      </c>
      <c r="C2837" s="106">
        <v>690979</v>
      </c>
    </row>
    <row r="2838" spans="1:3">
      <c r="A2838" s="102">
        <v>43055</v>
      </c>
      <c r="B2838" s="106">
        <v>235</v>
      </c>
      <c r="C2838" s="106">
        <v>690340</v>
      </c>
    </row>
    <row r="2839" spans="1:3">
      <c r="A2839" s="102">
        <v>43056</v>
      </c>
      <c r="B2839" s="106">
        <v>214</v>
      </c>
      <c r="C2839" s="106">
        <v>697779</v>
      </c>
    </row>
    <row r="2840" spans="1:3">
      <c r="A2840" s="102">
        <v>43057</v>
      </c>
      <c r="B2840" s="106">
        <v>214</v>
      </c>
      <c r="C2840" s="106">
        <v>697779</v>
      </c>
    </row>
    <row r="2841" spans="1:3">
      <c r="A2841" s="102">
        <v>43058</v>
      </c>
      <c r="B2841" s="106">
        <v>214</v>
      </c>
      <c r="C2841" s="106">
        <v>697779</v>
      </c>
    </row>
    <row r="2842" spans="1:3">
      <c r="A2842" s="102">
        <v>43059</v>
      </c>
      <c r="B2842" s="106">
        <v>273</v>
      </c>
      <c r="C2842" s="106">
        <v>699677</v>
      </c>
    </row>
    <row r="2843" spans="1:3">
      <c r="A2843" s="102">
        <v>43060</v>
      </c>
      <c r="B2843" s="106">
        <v>284</v>
      </c>
      <c r="C2843" s="106">
        <v>701775</v>
      </c>
    </row>
    <row r="2844" spans="1:3">
      <c r="A2844" s="102">
        <v>43061</v>
      </c>
      <c r="B2844" s="106">
        <v>291</v>
      </c>
      <c r="C2844" s="106">
        <v>706991</v>
      </c>
    </row>
    <row r="2845" spans="1:3">
      <c r="A2845" s="102">
        <v>43062</v>
      </c>
      <c r="B2845" s="106">
        <v>343</v>
      </c>
      <c r="C2845" s="106">
        <v>699899</v>
      </c>
    </row>
    <row r="2846" spans="1:3">
      <c r="A2846" s="102">
        <v>43063</v>
      </c>
      <c r="B2846" s="106">
        <v>420</v>
      </c>
      <c r="C2846" s="106">
        <v>702434</v>
      </c>
    </row>
    <row r="2847" spans="1:3">
      <c r="A2847" s="102">
        <v>43064</v>
      </c>
      <c r="B2847" s="106">
        <v>420</v>
      </c>
      <c r="C2847" s="106">
        <v>702434</v>
      </c>
    </row>
    <row r="2848" spans="1:3">
      <c r="A2848" s="102">
        <v>43065</v>
      </c>
      <c r="B2848" s="106">
        <v>420</v>
      </c>
      <c r="C2848" s="106">
        <v>702434</v>
      </c>
    </row>
    <row r="2849" spans="1:3">
      <c r="A2849" s="102">
        <v>43066</v>
      </c>
      <c r="B2849" s="106">
        <v>315</v>
      </c>
      <c r="C2849" s="106">
        <v>685925</v>
      </c>
    </row>
    <row r="2850" spans="1:3">
      <c r="A2850" s="102">
        <v>43067</v>
      </c>
      <c r="B2850" s="106">
        <v>291</v>
      </c>
      <c r="C2850" s="106">
        <v>683985</v>
      </c>
    </row>
    <row r="2851" spans="1:3">
      <c r="A2851" s="102">
        <v>43068</v>
      </c>
      <c r="B2851" s="106">
        <v>286</v>
      </c>
      <c r="C2851" s="106">
        <v>685778</v>
      </c>
    </row>
    <row r="2852" spans="1:3">
      <c r="A2852" s="102">
        <v>43069</v>
      </c>
      <c r="B2852" s="106">
        <v>65</v>
      </c>
      <c r="C2852" s="106">
        <v>685962</v>
      </c>
    </row>
    <row r="2853" spans="1:3">
      <c r="A2853" s="102">
        <v>43070</v>
      </c>
      <c r="B2853" s="106">
        <v>243</v>
      </c>
      <c r="C2853" s="106">
        <v>694850</v>
      </c>
    </row>
    <row r="2854" spans="1:3">
      <c r="A2854" s="102">
        <v>43071</v>
      </c>
      <c r="B2854" s="106">
        <v>243</v>
      </c>
      <c r="C2854" s="106">
        <v>694850</v>
      </c>
    </row>
    <row r="2855" spans="1:3">
      <c r="A2855" s="102">
        <v>43072</v>
      </c>
      <c r="B2855" s="106">
        <v>243</v>
      </c>
      <c r="C2855" s="106">
        <v>694850</v>
      </c>
    </row>
    <row r="2856" spans="1:3">
      <c r="A2856" s="102">
        <v>43073</v>
      </c>
      <c r="B2856" s="106">
        <v>394</v>
      </c>
      <c r="C2856" s="106">
        <v>709186</v>
      </c>
    </row>
    <row r="2857" spans="1:3">
      <c r="A2857" s="102">
        <v>43074</v>
      </c>
      <c r="B2857" s="106">
        <v>704</v>
      </c>
      <c r="C2857" s="106">
        <v>690849</v>
      </c>
    </row>
    <row r="2858" spans="1:3">
      <c r="A2858" s="102">
        <v>43075</v>
      </c>
      <c r="B2858" s="106">
        <v>123</v>
      </c>
      <c r="C2858" s="106">
        <v>692738</v>
      </c>
    </row>
    <row r="2859" spans="1:3">
      <c r="A2859" s="102">
        <v>43076</v>
      </c>
      <c r="B2859" s="106">
        <v>146</v>
      </c>
      <c r="C2859" s="106">
        <v>695827</v>
      </c>
    </row>
    <row r="2860" spans="1:3">
      <c r="A2860" s="102">
        <v>43077</v>
      </c>
      <c r="B2860" s="106">
        <v>135</v>
      </c>
      <c r="C2860" s="106">
        <v>694290</v>
      </c>
    </row>
    <row r="2861" spans="1:3">
      <c r="A2861" s="102">
        <v>43078</v>
      </c>
      <c r="B2861" s="106">
        <v>135</v>
      </c>
      <c r="C2861" s="106">
        <v>694290</v>
      </c>
    </row>
    <row r="2862" spans="1:3">
      <c r="A2862" s="102">
        <v>43079</v>
      </c>
      <c r="B2862" s="106">
        <v>135</v>
      </c>
      <c r="C2862" s="106">
        <v>694290</v>
      </c>
    </row>
    <row r="2863" spans="1:3">
      <c r="A2863" s="102">
        <v>43080</v>
      </c>
      <c r="B2863" s="106">
        <v>283</v>
      </c>
      <c r="C2863" s="106">
        <v>692312</v>
      </c>
    </row>
    <row r="2864" spans="1:3">
      <c r="A2864" s="102">
        <v>43081</v>
      </c>
      <c r="B2864" s="106">
        <v>188</v>
      </c>
      <c r="C2864" s="106">
        <v>671946</v>
      </c>
    </row>
    <row r="2865" spans="1:3">
      <c r="A2865" s="102">
        <v>43082</v>
      </c>
      <c r="B2865" s="106">
        <v>633</v>
      </c>
      <c r="C2865" s="106">
        <v>679302</v>
      </c>
    </row>
    <row r="2866" spans="1:3">
      <c r="A2866" s="102">
        <v>43083</v>
      </c>
      <c r="B2866" s="106">
        <v>203</v>
      </c>
      <c r="C2866" s="106">
        <v>660919</v>
      </c>
    </row>
    <row r="2867" spans="1:3">
      <c r="A2867" s="102">
        <v>43084</v>
      </c>
      <c r="B2867" s="106">
        <v>124</v>
      </c>
      <c r="C2867" s="106">
        <v>665236</v>
      </c>
    </row>
    <row r="2868" spans="1:3">
      <c r="A2868" s="102">
        <v>43087</v>
      </c>
      <c r="B2868" s="106">
        <v>133</v>
      </c>
      <c r="C2868" s="106">
        <v>631702</v>
      </c>
    </row>
    <row r="2869" spans="1:3">
      <c r="A2869" s="102">
        <v>43088</v>
      </c>
      <c r="B2869" s="106">
        <v>203</v>
      </c>
      <c r="C2869" s="106">
        <v>659915</v>
      </c>
    </row>
    <row r="2870" spans="1:3">
      <c r="A2870" s="102">
        <v>43089</v>
      </c>
      <c r="B2870" s="106">
        <v>180</v>
      </c>
      <c r="C2870" s="106">
        <v>605768</v>
      </c>
    </row>
    <row r="2871" spans="1:3">
      <c r="A2871" s="102">
        <v>43090</v>
      </c>
      <c r="B2871" s="106">
        <v>240</v>
      </c>
      <c r="C2871" s="106">
        <v>630162</v>
      </c>
    </row>
    <row r="2872" spans="1:3">
      <c r="A2872" s="102">
        <v>43091</v>
      </c>
      <c r="B2872" s="106">
        <v>275</v>
      </c>
      <c r="C2872" s="106">
        <v>676242</v>
      </c>
    </row>
    <row r="2873" spans="1:3">
      <c r="A2873" s="102">
        <v>43092</v>
      </c>
      <c r="B2873" s="106">
        <v>275</v>
      </c>
      <c r="C2873" s="106">
        <v>676242</v>
      </c>
    </row>
    <row r="2874" spans="1:3">
      <c r="A2874" s="102">
        <v>43093</v>
      </c>
      <c r="B2874" s="106">
        <v>275</v>
      </c>
      <c r="C2874" s="106">
        <v>676242</v>
      </c>
    </row>
    <row r="2875" spans="1:3">
      <c r="A2875" s="102">
        <v>43094</v>
      </c>
      <c r="B2875" s="106">
        <v>275</v>
      </c>
      <c r="C2875" s="106">
        <v>676242</v>
      </c>
    </row>
    <row r="2876" spans="1:3">
      <c r="A2876" s="102">
        <v>43095</v>
      </c>
      <c r="B2876" s="106">
        <v>275</v>
      </c>
      <c r="C2876" s="106">
        <v>676242</v>
      </c>
    </row>
    <row r="2877" spans="1:3">
      <c r="A2877" s="102">
        <v>43096</v>
      </c>
      <c r="B2877" s="106">
        <v>216</v>
      </c>
      <c r="C2877" s="106">
        <v>682378</v>
      </c>
    </row>
    <row r="2878" spans="1:3">
      <c r="A2878" s="102">
        <v>43097</v>
      </c>
      <c r="B2878" s="106">
        <v>266</v>
      </c>
      <c r="C2878" s="106">
        <v>684149</v>
      </c>
    </row>
    <row r="2879" spans="1:3">
      <c r="A2879" s="102">
        <v>43098</v>
      </c>
      <c r="B2879" s="106">
        <v>299</v>
      </c>
      <c r="C2879" s="106">
        <v>695801</v>
      </c>
    </row>
    <row r="2880" spans="1:3">
      <c r="A2880" s="102">
        <v>43099</v>
      </c>
      <c r="B2880" s="106">
        <v>299</v>
      </c>
      <c r="C2880" s="106">
        <v>695801</v>
      </c>
    </row>
    <row r="2881" spans="1:3">
      <c r="A2881" s="102">
        <v>43100</v>
      </c>
      <c r="B2881" s="106">
        <v>299</v>
      </c>
      <c r="C2881" s="106">
        <v>695801</v>
      </c>
    </row>
    <row r="2882" spans="1:3">
      <c r="A2882" s="102">
        <v>43101</v>
      </c>
      <c r="B2882" s="106">
        <v>299</v>
      </c>
      <c r="C2882" s="106">
        <v>695801</v>
      </c>
    </row>
    <row r="2883" spans="1:3">
      <c r="A2883" s="102">
        <v>43102</v>
      </c>
      <c r="B2883" s="106">
        <v>317</v>
      </c>
      <c r="C2883" s="106">
        <v>681738</v>
      </c>
    </row>
    <row r="2884" spans="1:3">
      <c r="A2884" s="102">
        <v>43103</v>
      </c>
      <c r="B2884" s="106">
        <v>53</v>
      </c>
      <c r="C2884" s="106">
        <v>696782</v>
      </c>
    </row>
    <row r="2885" spans="1:3">
      <c r="A2885" s="102">
        <v>43104</v>
      </c>
      <c r="B2885" s="106">
        <v>12</v>
      </c>
      <c r="C2885" s="106">
        <v>705176</v>
      </c>
    </row>
    <row r="2886" spans="1:3">
      <c r="A2886" s="102">
        <v>43105</v>
      </c>
      <c r="B2886" s="106">
        <v>54</v>
      </c>
      <c r="C2886" s="106">
        <v>699449</v>
      </c>
    </row>
    <row r="2887" spans="1:3">
      <c r="A2887" s="102">
        <v>43106</v>
      </c>
      <c r="B2887" s="106">
        <v>54</v>
      </c>
      <c r="C2887" s="106">
        <v>699449</v>
      </c>
    </row>
    <row r="2888" spans="1:3">
      <c r="A2888" s="102">
        <v>43107</v>
      </c>
      <c r="B2888" s="106">
        <v>54</v>
      </c>
      <c r="C2888" s="106">
        <v>699449</v>
      </c>
    </row>
    <row r="2889" spans="1:3">
      <c r="A2889" s="102">
        <v>43108</v>
      </c>
      <c r="B2889" s="106">
        <v>40</v>
      </c>
      <c r="C2889" s="106">
        <v>699728</v>
      </c>
    </row>
    <row r="2890" spans="1:3">
      <c r="A2890" s="102">
        <v>43109</v>
      </c>
      <c r="B2890" s="106">
        <v>2</v>
      </c>
      <c r="C2890" s="106">
        <v>702698</v>
      </c>
    </row>
    <row r="2891" spans="1:3">
      <c r="A2891" s="102">
        <v>43110</v>
      </c>
      <c r="B2891" s="106">
        <v>176</v>
      </c>
      <c r="C2891" s="106">
        <v>702610</v>
      </c>
    </row>
    <row r="2892" spans="1:3">
      <c r="A2892" s="102">
        <v>43111</v>
      </c>
      <c r="B2892" s="106">
        <v>154</v>
      </c>
      <c r="C2892" s="106">
        <v>703429</v>
      </c>
    </row>
    <row r="2893" spans="1:3">
      <c r="A2893" s="102">
        <v>43112</v>
      </c>
      <c r="B2893" s="106">
        <v>98</v>
      </c>
      <c r="C2893" s="106">
        <v>703494</v>
      </c>
    </row>
    <row r="2894" spans="1:3">
      <c r="A2894" s="102">
        <v>43113</v>
      </c>
      <c r="B2894" s="106">
        <v>98</v>
      </c>
      <c r="C2894" s="106">
        <v>703494</v>
      </c>
    </row>
    <row r="2895" spans="1:3">
      <c r="A2895" s="102">
        <v>43114</v>
      </c>
      <c r="B2895" s="106">
        <v>98</v>
      </c>
      <c r="C2895" s="106">
        <v>703494</v>
      </c>
    </row>
    <row r="2896" spans="1:3">
      <c r="A2896" s="102">
        <v>43115</v>
      </c>
      <c r="B2896" s="106">
        <v>286</v>
      </c>
      <c r="C2896" s="106">
        <v>709133</v>
      </c>
    </row>
    <row r="2897" spans="1:3">
      <c r="A2897" s="102">
        <v>43116</v>
      </c>
      <c r="B2897" s="106">
        <v>401</v>
      </c>
      <c r="C2897" s="106">
        <v>715068</v>
      </c>
    </row>
    <row r="2898" spans="1:3">
      <c r="A2898" s="102">
        <v>43117</v>
      </c>
      <c r="B2898" s="106">
        <v>135</v>
      </c>
      <c r="C2898" s="106">
        <v>699664</v>
      </c>
    </row>
    <row r="2899" spans="1:3">
      <c r="A2899" s="102">
        <v>43118</v>
      </c>
      <c r="B2899" s="106">
        <v>434</v>
      </c>
      <c r="C2899" s="106">
        <v>690422</v>
      </c>
    </row>
    <row r="2900" spans="1:3">
      <c r="A2900" s="102">
        <v>43119</v>
      </c>
      <c r="B2900" s="106">
        <v>237</v>
      </c>
      <c r="C2900" s="106">
        <v>692936</v>
      </c>
    </row>
    <row r="2901" spans="1:3">
      <c r="A2901" s="102">
        <v>43120</v>
      </c>
      <c r="B2901" s="106">
        <v>237</v>
      </c>
      <c r="C2901" s="106">
        <v>692936</v>
      </c>
    </row>
    <row r="2902" spans="1:3">
      <c r="A2902" s="102">
        <v>43121</v>
      </c>
      <c r="B2902" s="106">
        <v>237</v>
      </c>
      <c r="C2902" s="106">
        <v>692936</v>
      </c>
    </row>
    <row r="2903" spans="1:3">
      <c r="A2903" s="102">
        <v>43122</v>
      </c>
      <c r="B2903" s="106">
        <v>219</v>
      </c>
      <c r="C2903" s="106">
        <v>702981</v>
      </c>
    </row>
    <row r="2904" spans="1:3">
      <c r="A2904" s="102">
        <v>43123</v>
      </c>
      <c r="B2904" s="106">
        <v>524</v>
      </c>
      <c r="C2904" s="106">
        <v>692497</v>
      </c>
    </row>
    <row r="2905" spans="1:3">
      <c r="A2905" s="102">
        <v>43124</v>
      </c>
      <c r="B2905" s="106">
        <v>45</v>
      </c>
      <c r="C2905" s="106">
        <v>695363</v>
      </c>
    </row>
    <row r="2906" spans="1:3">
      <c r="A2906" s="102">
        <v>43125</v>
      </c>
      <c r="B2906" s="106">
        <v>0</v>
      </c>
      <c r="C2906" s="106">
        <v>677613</v>
      </c>
    </row>
    <row r="2907" spans="1:3">
      <c r="A2907" s="102">
        <v>43126</v>
      </c>
      <c r="B2907" s="106">
        <v>50</v>
      </c>
      <c r="C2907" s="106">
        <v>681171</v>
      </c>
    </row>
    <row r="2908" spans="1:3">
      <c r="A2908" s="102">
        <v>43127</v>
      </c>
      <c r="B2908" s="106">
        <v>50</v>
      </c>
      <c r="C2908" s="106">
        <v>681171</v>
      </c>
    </row>
    <row r="2909" spans="1:3">
      <c r="A2909" s="102">
        <v>43128</v>
      </c>
      <c r="B2909" s="106">
        <v>50</v>
      </c>
      <c r="C2909" s="106">
        <v>681171</v>
      </c>
    </row>
    <row r="2910" spans="1:3">
      <c r="A2910" s="102">
        <v>43129</v>
      </c>
      <c r="B2910" s="106">
        <v>65</v>
      </c>
      <c r="C2910" s="106">
        <v>688803</v>
      </c>
    </row>
    <row r="2911" spans="1:3">
      <c r="A2911" s="102">
        <v>43130</v>
      </c>
      <c r="B2911" s="106">
        <v>56</v>
      </c>
      <c r="C2911" s="106">
        <v>682746</v>
      </c>
    </row>
    <row r="2912" spans="1:3">
      <c r="A2912" s="102">
        <v>43131</v>
      </c>
      <c r="B2912" s="106">
        <v>75</v>
      </c>
      <c r="C2912" s="106">
        <v>634433</v>
      </c>
    </row>
    <row r="2913" spans="1:3">
      <c r="A2913" s="102">
        <v>43132</v>
      </c>
      <c r="B2913" s="106">
        <v>65</v>
      </c>
      <c r="C2913" s="106">
        <v>679463</v>
      </c>
    </row>
    <row r="2914" spans="1:3">
      <c r="A2914" s="102">
        <v>43133</v>
      </c>
      <c r="B2914" s="106">
        <v>39</v>
      </c>
      <c r="C2914" s="106">
        <v>690242</v>
      </c>
    </row>
    <row r="2915" spans="1:3">
      <c r="A2915" s="102">
        <v>43134</v>
      </c>
      <c r="B2915" s="106">
        <v>39</v>
      </c>
      <c r="C2915" s="106">
        <v>690242</v>
      </c>
    </row>
    <row r="2916" spans="1:3">
      <c r="A2916" s="102">
        <v>43135</v>
      </c>
      <c r="B2916" s="106">
        <v>39</v>
      </c>
      <c r="C2916" s="106">
        <v>690242</v>
      </c>
    </row>
    <row r="2917" spans="1:3">
      <c r="A2917" s="102">
        <v>43136</v>
      </c>
      <c r="B2917" s="106">
        <v>35</v>
      </c>
      <c r="C2917" s="106">
        <v>699164</v>
      </c>
    </row>
    <row r="2918" spans="1:3">
      <c r="A2918" s="102">
        <v>43137</v>
      </c>
      <c r="B2918" s="106">
        <v>51</v>
      </c>
      <c r="C2918" s="106">
        <v>705015</v>
      </c>
    </row>
    <row r="2919" spans="1:3">
      <c r="A2919" s="102">
        <v>43138</v>
      </c>
      <c r="B2919" s="106">
        <v>50</v>
      </c>
      <c r="C2919" s="106">
        <v>677591</v>
      </c>
    </row>
    <row r="2920" spans="1:3">
      <c r="A2920" s="102">
        <v>43139</v>
      </c>
      <c r="B2920" s="106">
        <v>70</v>
      </c>
      <c r="C2920" s="106">
        <v>706963</v>
      </c>
    </row>
    <row r="2921" spans="1:3">
      <c r="A2921" s="102">
        <v>43140</v>
      </c>
      <c r="B2921" s="106">
        <v>3</v>
      </c>
      <c r="C2921" s="106">
        <v>693984</v>
      </c>
    </row>
    <row r="2922" spans="1:3">
      <c r="A2922" s="102">
        <v>43141</v>
      </c>
      <c r="B2922" s="106">
        <v>3</v>
      </c>
      <c r="C2922" s="106">
        <v>693984</v>
      </c>
    </row>
    <row r="2923" spans="1:3">
      <c r="A2923" s="102">
        <v>43142</v>
      </c>
      <c r="B2923" s="106">
        <v>3</v>
      </c>
      <c r="C2923" s="106">
        <v>693984</v>
      </c>
    </row>
    <row r="2924" spans="1:3">
      <c r="A2924" s="102">
        <v>43143</v>
      </c>
      <c r="B2924" s="106">
        <v>13</v>
      </c>
      <c r="C2924" s="106">
        <v>697792</v>
      </c>
    </row>
    <row r="2925" spans="1:3">
      <c r="A2925" s="102">
        <v>43144</v>
      </c>
      <c r="B2925" s="106">
        <v>13</v>
      </c>
      <c r="C2925" s="106">
        <v>713541</v>
      </c>
    </row>
    <row r="2926" spans="1:3">
      <c r="A2926" s="102">
        <v>43145</v>
      </c>
      <c r="B2926" s="106">
        <v>15</v>
      </c>
      <c r="C2926" s="106">
        <v>708400</v>
      </c>
    </row>
    <row r="2927" spans="1:3">
      <c r="A2927" s="102">
        <v>43146</v>
      </c>
      <c r="B2927" s="106">
        <v>53</v>
      </c>
      <c r="C2927" s="106">
        <v>687263</v>
      </c>
    </row>
    <row r="2928" spans="1:3">
      <c r="A2928" s="102">
        <v>43147</v>
      </c>
      <c r="B2928" s="106">
        <v>98</v>
      </c>
      <c r="C2928" s="106">
        <v>692203</v>
      </c>
    </row>
    <row r="2929" spans="1:3">
      <c r="A2929" s="102">
        <v>43148</v>
      </c>
      <c r="B2929" s="106">
        <v>98</v>
      </c>
      <c r="C2929" s="106">
        <v>692203</v>
      </c>
    </row>
    <row r="2930" spans="1:3">
      <c r="A2930" s="102">
        <v>43149</v>
      </c>
      <c r="B2930" s="106">
        <v>98</v>
      </c>
      <c r="C2930" s="106">
        <v>692203</v>
      </c>
    </row>
    <row r="2931" spans="1:3">
      <c r="A2931" s="102">
        <v>43150</v>
      </c>
      <c r="B2931" s="106">
        <v>47</v>
      </c>
      <c r="C2931" s="106">
        <v>690009</v>
      </c>
    </row>
    <row r="2932" spans="1:3">
      <c r="A2932" s="102">
        <v>43151</v>
      </c>
      <c r="B2932" s="106">
        <v>76</v>
      </c>
      <c r="C2932" s="106">
        <v>691977</v>
      </c>
    </row>
    <row r="2933" spans="1:3">
      <c r="A2933" s="102">
        <v>43152</v>
      </c>
      <c r="B2933" s="106">
        <v>119</v>
      </c>
      <c r="C2933" s="106">
        <v>688894</v>
      </c>
    </row>
    <row r="2934" spans="1:3">
      <c r="A2934" s="102">
        <v>43153</v>
      </c>
      <c r="B2934" s="106">
        <v>0</v>
      </c>
      <c r="C2934" s="106">
        <v>676882</v>
      </c>
    </row>
    <row r="2935" spans="1:3">
      <c r="A2935" s="102">
        <v>43154</v>
      </c>
      <c r="B2935" s="106">
        <v>37</v>
      </c>
      <c r="C2935" s="106">
        <v>677558</v>
      </c>
    </row>
    <row r="2936" spans="1:3">
      <c r="A2936" s="102">
        <v>43155</v>
      </c>
      <c r="B2936" s="106">
        <v>37</v>
      </c>
      <c r="C2936" s="106">
        <v>677558</v>
      </c>
    </row>
    <row r="2937" spans="1:3">
      <c r="A2937" s="102">
        <v>43156</v>
      </c>
      <c r="B2937" s="106">
        <v>37</v>
      </c>
      <c r="C2937" s="106">
        <v>677558</v>
      </c>
    </row>
    <row r="2938" spans="1:3">
      <c r="A2938" s="102">
        <v>43157</v>
      </c>
      <c r="B2938" s="106">
        <v>25</v>
      </c>
      <c r="C2938" s="106">
        <v>681594</v>
      </c>
    </row>
    <row r="2939" spans="1:3">
      <c r="A2939" s="102">
        <v>43158</v>
      </c>
      <c r="B2939" s="106">
        <v>20</v>
      </c>
      <c r="C2939" s="106">
        <v>673733</v>
      </c>
    </row>
    <row r="2940" spans="1:3">
      <c r="A2940" s="102">
        <v>43159</v>
      </c>
      <c r="B2940" s="106">
        <v>90</v>
      </c>
      <c r="C2940" s="106">
        <v>677418</v>
      </c>
    </row>
    <row r="2941" spans="1:3">
      <c r="A2941" s="102">
        <v>43160</v>
      </c>
      <c r="B2941" s="106">
        <v>112</v>
      </c>
      <c r="C2941" s="106">
        <v>693713</v>
      </c>
    </row>
    <row r="2942" spans="1:3">
      <c r="A2942" s="102">
        <v>43161</v>
      </c>
      <c r="B2942" s="106">
        <v>45</v>
      </c>
      <c r="C2942" s="106">
        <v>662533</v>
      </c>
    </row>
    <row r="2943" spans="1:3">
      <c r="A2943" s="102">
        <v>43162</v>
      </c>
      <c r="B2943" s="106">
        <v>45</v>
      </c>
      <c r="C2943" s="106">
        <v>662533</v>
      </c>
    </row>
    <row r="2944" spans="1:3">
      <c r="A2944" s="102">
        <v>43163</v>
      </c>
      <c r="B2944" s="106">
        <v>45</v>
      </c>
      <c r="C2944" s="106">
        <v>662533</v>
      </c>
    </row>
    <row r="2945" spans="1:3">
      <c r="A2945" s="102">
        <v>43164</v>
      </c>
      <c r="B2945" s="106">
        <v>51</v>
      </c>
      <c r="C2945" s="106">
        <v>686970</v>
      </c>
    </row>
    <row r="2946" spans="1:3">
      <c r="A2946" s="102">
        <v>43165</v>
      </c>
      <c r="B2946" s="106">
        <v>40</v>
      </c>
      <c r="C2946" s="106">
        <v>688689</v>
      </c>
    </row>
    <row r="2947" spans="1:3">
      <c r="A2947" s="102">
        <v>43166</v>
      </c>
      <c r="B2947" s="106">
        <v>0</v>
      </c>
      <c r="C2947" s="106">
        <v>696991</v>
      </c>
    </row>
    <row r="2948" spans="1:3">
      <c r="A2948" s="102">
        <v>43167</v>
      </c>
      <c r="B2948" s="106">
        <v>0</v>
      </c>
      <c r="C2948" s="106">
        <v>672678</v>
      </c>
    </row>
    <row r="2949" spans="1:3">
      <c r="A2949" s="102">
        <v>43168</v>
      </c>
      <c r="B2949" s="106">
        <v>0</v>
      </c>
      <c r="C2949" s="106">
        <v>684103</v>
      </c>
    </row>
    <row r="2950" spans="1:3">
      <c r="A2950" s="102">
        <v>43169</v>
      </c>
      <c r="B2950" s="106">
        <v>0</v>
      </c>
      <c r="C2950" s="106">
        <v>684103</v>
      </c>
    </row>
    <row r="2951" spans="1:3">
      <c r="A2951" s="102">
        <v>43170</v>
      </c>
      <c r="B2951" s="106">
        <v>0</v>
      </c>
      <c r="C2951" s="106">
        <v>684103</v>
      </c>
    </row>
    <row r="2952" spans="1:3">
      <c r="A2952" s="102">
        <v>43171</v>
      </c>
      <c r="B2952" s="106">
        <v>0</v>
      </c>
      <c r="C2952" s="106">
        <v>684784</v>
      </c>
    </row>
    <row r="2953" spans="1:3">
      <c r="A2953" s="102">
        <v>43172</v>
      </c>
      <c r="B2953" s="106">
        <v>5</v>
      </c>
      <c r="C2953" s="106">
        <v>698369</v>
      </c>
    </row>
    <row r="2954" spans="1:3">
      <c r="A2954" s="102">
        <v>43173</v>
      </c>
      <c r="B2954" s="106">
        <v>85</v>
      </c>
      <c r="C2954" s="106">
        <v>662408</v>
      </c>
    </row>
    <row r="2955" spans="1:3">
      <c r="A2955" s="102">
        <v>43174</v>
      </c>
      <c r="B2955" s="106">
        <v>107</v>
      </c>
      <c r="C2955" s="106">
        <v>626166</v>
      </c>
    </row>
    <row r="2956" spans="1:3">
      <c r="A2956" s="102">
        <v>43175</v>
      </c>
      <c r="B2956" s="106">
        <v>0</v>
      </c>
      <c r="C2956" s="106">
        <v>663547</v>
      </c>
    </row>
    <row r="2957" spans="1:3">
      <c r="A2957" s="102">
        <v>43176</v>
      </c>
      <c r="B2957" s="106">
        <v>0</v>
      </c>
      <c r="C2957" s="106">
        <v>663547</v>
      </c>
    </row>
    <row r="2958" spans="1:3">
      <c r="A2958" s="102">
        <v>43177</v>
      </c>
      <c r="B2958" s="106">
        <v>0</v>
      </c>
      <c r="C2958" s="106">
        <v>663547</v>
      </c>
    </row>
    <row r="2959" spans="1:3">
      <c r="A2959" s="102">
        <v>43178</v>
      </c>
      <c r="B2959" s="106">
        <v>0</v>
      </c>
      <c r="C2959" s="106">
        <v>658869</v>
      </c>
    </row>
    <row r="2960" spans="1:3">
      <c r="A2960" s="102">
        <v>43179</v>
      </c>
      <c r="B2960" s="106">
        <v>200</v>
      </c>
      <c r="C2960" s="106">
        <v>654430</v>
      </c>
    </row>
    <row r="2961" spans="1:3">
      <c r="A2961" s="102">
        <v>43180</v>
      </c>
      <c r="B2961" s="106">
        <v>55</v>
      </c>
      <c r="C2961" s="106">
        <v>659862</v>
      </c>
    </row>
    <row r="2962" spans="1:3">
      <c r="A2962" s="102">
        <v>43181</v>
      </c>
      <c r="B2962" s="106">
        <v>70</v>
      </c>
      <c r="C2962" s="106">
        <v>661838</v>
      </c>
    </row>
    <row r="2963" spans="1:3">
      <c r="A2963" s="102">
        <v>43182</v>
      </c>
      <c r="B2963" s="106">
        <v>100</v>
      </c>
      <c r="C2963" s="106">
        <v>661792</v>
      </c>
    </row>
    <row r="2964" spans="1:3">
      <c r="A2964" s="102">
        <v>43185</v>
      </c>
      <c r="B2964" s="106">
        <v>105</v>
      </c>
      <c r="C2964" s="106">
        <v>663573</v>
      </c>
    </row>
    <row r="2965" spans="1:3">
      <c r="A2965" s="102">
        <v>43186</v>
      </c>
      <c r="B2965" s="106">
        <v>110</v>
      </c>
      <c r="C2965" s="106">
        <v>668207</v>
      </c>
    </row>
    <row r="2966" spans="1:3">
      <c r="A2966" s="102">
        <v>43187</v>
      </c>
      <c r="B2966" s="106">
        <v>131</v>
      </c>
      <c r="C2966" s="106">
        <v>673098</v>
      </c>
    </row>
    <row r="2967" spans="1:3">
      <c r="A2967" s="102">
        <v>43188</v>
      </c>
      <c r="B2967" s="106">
        <v>189</v>
      </c>
      <c r="C2967" s="106">
        <v>647175</v>
      </c>
    </row>
    <row r="2968" spans="1:3">
      <c r="A2968" s="102">
        <v>43189</v>
      </c>
      <c r="B2968" s="106">
        <v>189</v>
      </c>
      <c r="C2968" s="106">
        <v>647175</v>
      </c>
    </row>
    <row r="2969" spans="1:3">
      <c r="A2969" s="102">
        <v>43193</v>
      </c>
      <c r="B2969" s="106">
        <v>35</v>
      </c>
      <c r="C2969" s="106">
        <v>683854</v>
      </c>
    </row>
    <row r="2970" spans="1:3">
      <c r="A2970" s="102">
        <v>43194</v>
      </c>
      <c r="B2970" s="106">
        <v>30</v>
      </c>
      <c r="C2970" s="106">
        <v>688225</v>
      </c>
    </row>
    <row r="2971" spans="1:3">
      <c r="A2971" s="102">
        <v>43195</v>
      </c>
      <c r="B2971" s="106">
        <v>40</v>
      </c>
      <c r="C2971" s="106">
        <v>704773</v>
      </c>
    </row>
    <row r="2972" spans="1:3">
      <c r="A2972" s="102">
        <v>43196</v>
      </c>
      <c r="B2972" s="106">
        <v>0</v>
      </c>
      <c r="C2972" s="106">
        <v>690384</v>
      </c>
    </row>
    <row r="2973" spans="1:3">
      <c r="A2973" s="102">
        <v>43197</v>
      </c>
      <c r="B2973" s="106">
        <v>0</v>
      </c>
      <c r="C2973" s="106">
        <v>690384</v>
      </c>
    </row>
    <row r="2974" spans="1:3">
      <c r="A2974" s="102">
        <v>43198</v>
      </c>
      <c r="B2974" s="106">
        <v>0</v>
      </c>
      <c r="C2974" s="106">
        <v>690384</v>
      </c>
    </row>
    <row r="2975" spans="1:3">
      <c r="A2975" s="102">
        <v>43199</v>
      </c>
      <c r="B2975" s="106">
        <v>404</v>
      </c>
      <c r="C2975" s="106">
        <v>679482</v>
      </c>
    </row>
    <row r="2976" spans="1:3">
      <c r="A2976" s="102">
        <v>43200</v>
      </c>
      <c r="B2976" s="106">
        <v>53</v>
      </c>
      <c r="C2976" s="106">
        <v>688471</v>
      </c>
    </row>
    <row r="2977" spans="1:3">
      <c r="A2977" s="102">
        <v>43201</v>
      </c>
      <c r="B2977" s="106">
        <v>136</v>
      </c>
      <c r="C2977" s="106">
        <v>689982</v>
      </c>
    </row>
    <row r="2978" spans="1:3">
      <c r="A2978" s="102">
        <v>43202</v>
      </c>
      <c r="B2978" s="106">
        <v>142</v>
      </c>
      <c r="C2978" s="106">
        <v>676516</v>
      </c>
    </row>
    <row r="2979" spans="1:3">
      <c r="A2979" s="102">
        <v>43203</v>
      </c>
      <c r="B2979" s="106">
        <v>561</v>
      </c>
      <c r="C2979" s="106">
        <v>682949</v>
      </c>
    </row>
    <row r="2980" spans="1:3">
      <c r="A2980" s="102">
        <v>43204</v>
      </c>
      <c r="B2980" s="106">
        <v>561</v>
      </c>
      <c r="C2980" s="106">
        <v>682949</v>
      </c>
    </row>
    <row r="2981" spans="1:3">
      <c r="A2981" s="102">
        <v>43205</v>
      </c>
      <c r="B2981" s="106">
        <v>561</v>
      </c>
      <c r="C2981" s="106">
        <v>682949</v>
      </c>
    </row>
    <row r="2982" spans="1:3">
      <c r="A2982" s="102">
        <v>43206</v>
      </c>
      <c r="B2982" s="106">
        <v>133</v>
      </c>
      <c r="C2982" s="106">
        <v>677583</v>
      </c>
    </row>
    <row r="2983" spans="1:3">
      <c r="A2983" s="102">
        <v>43207</v>
      </c>
      <c r="B2983" s="106">
        <v>170</v>
      </c>
      <c r="C2983" s="106">
        <v>674579</v>
      </c>
    </row>
    <row r="2984" spans="1:3">
      <c r="A2984" s="102">
        <v>43208</v>
      </c>
      <c r="B2984" s="106">
        <v>60</v>
      </c>
      <c r="C2984" s="106">
        <v>672270</v>
      </c>
    </row>
    <row r="2985" spans="1:3">
      <c r="A2985" s="102">
        <v>43209</v>
      </c>
      <c r="B2985" s="106">
        <v>70</v>
      </c>
      <c r="C2985" s="106">
        <v>668134</v>
      </c>
    </row>
    <row r="2986" spans="1:3">
      <c r="A2986" s="102">
        <v>43210</v>
      </c>
      <c r="B2986" s="106">
        <v>92</v>
      </c>
      <c r="C2986" s="106">
        <v>679963</v>
      </c>
    </row>
    <row r="2987" spans="1:3">
      <c r="A2987" s="102">
        <v>43211</v>
      </c>
      <c r="B2987" s="106">
        <v>92</v>
      </c>
      <c r="C2987" s="106">
        <v>679963</v>
      </c>
    </row>
    <row r="2988" spans="1:3">
      <c r="A2988" s="102">
        <v>43212</v>
      </c>
      <c r="B2988" s="106">
        <v>92</v>
      </c>
      <c r="C2988" s="106">
        <v>679963</v>
      </c>
    </row>
    <row r="2989" spans="1:3">
      <c r="A2989" s="102">
        <v>43213</v>
      </c>
      <c r="B2989" s="106">
        <v>85</v>
      </c>
      <c r="C2989" s="106">
        <v>672948</v>
      </c>
    </row>
    <row r="2990" spans="1:3">
      <c r="A2990" s="102">
        <v>43214</v>
      </c>
      <c r="B2990" s="106">
        <v>40</v>
      </c>
      <c r="C2990" s="106">
        <v>668338</v>
      </c>
    </row>
    <row r="2991" spans="1:3">
      <c r="A2991" s="102">
        <v>43215</v>
      </c>
      <c r="B2991" s="106">
        <v>30</v>
      </c>
      <c r="C2991" s="106">
        <v>667793</v>
      </c>
    </row>
    <row r="2992" spans="1:3">
      <c r="A2992" s="102">
        <v>43216</v>
      </c>
      <c r="B2992" s="106">
        <v>40</v>
      </c>
      <c r="C2992" s="106">
        <v>657490</v>
      </c>
    </row>
    <row r="2993" spans="1:3">
      <c r="A2993" s="102">
        <v>43217</v>
      </c>
      <c r="B2993" s="106">
        <v>37</v>
      </c>
      <c r="C2993" s="106">
        <v>641327</v>
      </c>
    </row>
    <row r="2994" spans="1:3">
      <c r="A2994" s="102">
        <v>43218</v>
      </c>
      <c r="B2994" s="106">
        <v>37</v>
      </c>
      <c r="C2994" s="106">
        <v>641327</v>
      </c>
    </row>
    <row r="2995" spans="1:3">
      <c r="A2995" s="102">
        <v>43219</v>
      </c>
      <c r="B2995" s="106">
        <v>37</v>
      </c>
      <c r="C2995" s="106">
        <v>641327</v>
      </c>
    </row>
    <row r="2996" spans="1:3">
      <c r="A2996" s="102">
        <v>43220</v>
      </c>
      <c r="B2996" s="106">
        <v>20</v>
      </c>
      <c r="C2996" s="106">
        <v>667908</v>
      </c>
    </row>
    <row r="2997" spans="1:3">
      <c r="A2997" s="102">
        <v>43221</v>
      </c>
      <c r="B2997" s="106">
        <v>20</v>
      </c>
      <c r="C2997" s="106">
        <v>667908</v>
      </c>
    </row>
    <row r="2998" spans="1:3">
      <c r="A2998" s="102">
        <v>43222</v>
      </c>
      <c r="B2998" s="106">
        <v>47</v>
      </c>
      <c r="C2998" s="106">
        <v>670057</v>
      </c>
    </row>
    <row r="2999" spans="1:3">
      <c r="A2999" s="102">
        <v>43223</v>
      </c>
      <c r="B2999" s="106">
        <v>53</v>
      </c>
      <c r="C2999" s="106">
        <v>624436</v>
      </c>
    </row>
    <row r="3000" spans="1:3">
      <c r="A3000" s="102">
        <v>43224</v>
      </c>
      <c r="B3000" s="106">
        <v>14</v>
      </c>
      <c r="C3000" s="106">
        <v>660359</v>
      </c>
    </row>
    <row r="3001" spans="1:3">
      <c r="A3001" s="102">
        <v>43225</v>
      </c>
      <c r="B3001" s="106">
        <v>14</v>
      </c>
      <c r="C3001" s="106">
        <v>660359</v>
      </c>
    </row>
    <row r="3002" spans="1:3">
      <c r="A3002" s="102">
        <v>43226</v>
      </c>
      <c r="B3002" s="106">
        <v>14</v>
      </c>
      <c r="C3002" s="106">
        <v>660359</v>
      </c>
    </row>
    <row r="3003" spans="1:3">
      <c r="A3003" s="102">
        <v>43227</v>
      </c>
      <c r="B3003" s="106">
        <v>12</v>
      </c>
      <c r="C3003" s="106">
        <v>666486</v>
      </c>
    </row>
    <row r="3004" spans="1:3">
      <c r="A3004" s="102">
        <v>43228</v>
      </c>
      <c r="B3004" s="106">
        <v>25</v>
      </c>
      <c r="C3004" s="106">
        <v>677353</v>
      </c>
    </row>
    <row r="3005" spans="1:3">
      <c r="A3005" s="102">
        <v>43229</v>
      </c>
      <c r="B3005" s="106">
        <v>170</v>
      </c>
      <c r="C3005" s="106">
        <v>670750</v>
      </c>
    </row>
    <row r="3006" spans="1:3">
      <c r="A3006" s="102">
        <v>43230</v>
      </c>
      <c r="B3006" s="106">
        <v>227</v>
      </c>
      <c r="C3006" s="106">
        <v>662320</v>
      </c>
    </row>
    <row r="3007" spans="1:3">
      <c r="A3007" s="102">
        <v>43231</v>
      </c>
      <c r="B3007" s="106">
        <v>59</v>
      </c>
      <c r="C3007" s="106">
        <v>672528</v>
      </c>
    </row>
    <row r="3008" spans="1:3">
      <c r="A3008" s="102">
        <v>43232</v>
      </c>
      <c r="B3008" s="106">
        <v>59</v>
      </c>
      <c r="C3008" s="106">
        <v>672528</v>
      </c>
    </row>
    <row r="3009" spans="1:3">
      <c r="A3009" s="102">
        <v>43233</v>
      </c>
      <c r="B3009" s="106">
        <v>59</v>
      </c>
      <c r="C3009" s="106">
        <v>672528</v>
      </c>
    </row>
    <row r="3010" spans="1:3">
      <c r="A3010" s="102">
        <v>43234</v>
      </c>
      <c r="B3010" s="106">
        <v>44</v>
      </c>
      <c r="C3010" s="106">
        <v>677216</v>
      </c>
    </row>
    <row r="3011" spans="1:3">
      <c r="A3011" s="102">
        <v>43235</v>
      </c>
      <c r="B3011" s="106">
        <v>90</v>
      </c>
      <c r="C3011" s="106">
        <v>673991</v>
      </c>
    </row>
    <row r="3012" spans="1:3">
      <c r="A3012" s="102">
        <v>43236</v>
      </c>
      <c r="B3012" s="106">
        <v>58</v>
      </c>
      <c r="C3012" s="106">
        <v>669967</v>
      </c>
    </row>
    <row r="3013" spans="1:3">
      <c r="A3013" s="102">
        <v>43237</v>
      </c>
      <c r="B3013" s="106">
        <v>46</v>
      </c>
      <c r="C3013" s="106">
        <v>655639</v>
      </c>
    </row>
    <row r="3014" spans="1:3">
      <c r="A3014" s="102">
        <v>43238</v>
      </c>
      <c r="B3014" s="106">
        <v>128</v>
      </c>
      <c r="C3014" s="106">
        <v>659144</v>
      </c>
    </row>
    <row r="3015" spans="1:3">
      <c r="A3015" s="102">
        <v>43239</v>
      </c>
      <c r="B3015" s="106">
        <v>128</v>
      </c>
      <c r="C3015" s="106">
        <v>659144</v>
      </c>
    </row>
    <row r="3016" spans="1:3">
      <c r="A3016" s="102">
        <v>43240</v>
      </c>
      <c r="B3016" s="106">
        <v>128</v>
      </c>
      <c r="C3016" s="106">
        <v>659144</v>
      </c>
    </row>
    <row r="3017" spans="1:3">
      <c r="A3017" s="102">
        <v>43241</v>
      </c>
      <c r="B3017" s="106">
        <v>133</v>
      </c>
      <c r="C3017" s="106">
        <v>643143</v>
      </c>
    </row>
    <row r="3018" spans="1:3">
      <c r="A3018" s="102">
        <v>43242</v>
      </c>
      <c r="B3018" s="106">
        <v>128</v>
      </c>
      <c r="C3018" s="106">
        <v>652867</v>
      </c>
    </row>
    <row r="3019" spans="1:3">
      <c r="A3019" s="102">
        <v>43243</v>
      </c>
      <c r="B3019" s="106">
        <v>295</v>
      </c>
      <c r="C3019" s="106">
        <v>651090</v>
      </c>
    </row>
    <row r="3020" spans="1:3">
      <c r="A3020" s="102">
        <v>43244</v>
      </c>
      <c r="B3020" s="106">
        <v>197</v>
      </c>
      <c r="C3020" s="106">
        <v>642572</v>
      </c>
    </row>
    <row r="3021" spans="1:3">
      <c r="A3021" s="102">
        <v>43245</v>
      </c>
      <c r="B3021" s="106">
        <v>221</v>
      </c>
      <c r="C3021" s="106">
        <v>646998</v>
      </c>
    </row>
    <row r="3022" spans="1:3">
      <c r="A3022" s="102">
        <v>43246</v>
      </c>
      <c r="B3022" s="106">
        <v>221</v>
      </c>
      <c r="C3022" s="106">
        <v>646998</v>
      </c>
    </row>
    <row r="3023" spans="1:3">
      <c r="A3023" s="102">
        <v>43247</v>
      </c>
      <c r="B3023" s="106">
        <v>221</v>
      </c>
      <c r="C3023" s="106">
        <v>646998</v>
      </c>
    </row>
    <row r="3024" spans="1:3">
      <c r="A3024" s="102">
        <v>43248</v>
      </c>
      <c r="B3024" s="106">
        <v>194</v>
      </c>
      <c r="C3024" s="106">
        <v>645175</v>
      </c>
    </row>
    <row r="3025" spans="1:3">
      <c r="A3025" s="102">
        <v>43249</v>
      </c>
      <c r="B3025" s="106">
        <v>258</v>
      </c>
      <c r="C3025" s="106">
        <v>663121</v>
      </c>
    </row>
    <row r="3026" spans="1:3">
      <c r="A3026" s="102">
        <v>43250</v>
      </c>
      <c r="B3026" s="106">
        <v>120</v>
      </c>
      <c r="C3026" s="106">
        <v>668071</v>
      </c>
    </row>
    <row r="3027" spans="1:3">
      <c r="A3027" s="102">
        <v>43251</v>
      </c>
      <c r="B3027" s="106">
        <v>145</v>
      </c>
      <c r="C3027" s="106">
        <v>680416</v>
      </c>
    </row>
    <row r="3028" spans="1:3">
      <c r="A3028" s="102">
        <v>43252</v>
      </c>
      <c r="B3028" s="106">
        <v>128</v>
      </c>
      <c r="C3028" s="106">
        <v>666683</v>
      </c>
    </row>
    <row r="3029" spans="1:3">
      <c r="A3029" s="102">
        <v>43253</v>
      </c>
      <c r="B3029" s="106">
        <v>128</v>
      </c>
      <c r="C3029" s="106">
        <v>666683</v>
      </c>
    </row>
    <row r="3030" spans="1:3">
      <c r="A3030" s="102">
        <v>43254</v>
      </c>
      <c r="B3030" s="106">
        <v>128</v>
      </c>
      <c r="C3030" s="106">
        <v>666683</v>
      </c>
    </row>
    <row r="3031" spans="1:3">
      <c r="A3031" s="102">
        <v>43255</v>
      </c>
      <c r="B3031" s="106">
        <v>108</v>
      </c>
      <c r="C3031" s="106">
        <v>671602</v>
      </c>
    </row>
    <row r="3032" spans="1:3">
      <c r="A3032" s="102">
        <v>43256</v>
      </c>
      <c r="B3032" s="106">
        <v>99</v>
      </c>
      <c r="C3032" s="106">
        <v>678288</v>
      </c>
    </row>
    <row r="3033" spans="1:3">
      <c r="A3033" s="102">
        <v>43257</v>
      </c>
      <c r="B3033" s="106">
        <v>146</v>
      </c>
      <c r="C3033" s="106">
        <v>663435</v>
      </c>
    </row>
    <row r="3034" spans="1:3">
      <c r="A3034" s="102">
        <v>43258</v>
      </c>
      <c r="B3034" s="106">
        <v>92</v>
      </c>
      <c r="C3034" s="106">
        <v>661967</v>
      </c>
    </row>
    <row r="3035" spans="1:3">
      <c r="A3035" s="102">
        <v>43259</v>
      </c>
      <c r="B3035" s="106">
        <v>30</v>
      </c>
      <c r="C3035" s="106">
        <v>668335</v>
      </c>
    </row>
    <row r="3036" spans="1:3">
      <c r="A3036" s="102">
        <v>43260</v>
      </c>
      <c r="B3036" s="106">
        <v>30</v>
      </c>
      <c r="C3036" s="106">
        <v>668335</v>
      </c>
    </row>
    <row r="3037" spans="1:3">
      <c r="A3037" s="102">
        <v>43261</v>
      </c>
      <c r="B3037" s="106">
        <v>30</v>
      </c>
      <c r="C3037" s="106">
        <v>668335</v>
      </c>
    </row>
    <row r="3038" spans="1:3">
      <c r="A3038" s="102">
        <v>43262</v>
      </c>
      <c r="B3038" s="106">
        <v>231</v>
      </c>
      <c r="C3038" s="106">
        <v>656109</v>
      </c>
    </row>
    <row r="3039" spans="1:3">
      <c r="A3039" s="102">
        <v>43263</v>
      </c>
      <c r="B3039" s="106">
        <v>43</v>
      </c>
      <c r="C3039" s="106">
        <v>660238</v>
      </c>
    </row>
    <row r="3040" spans="1:3">
      <c r="A3040" s="102">
        <v>43264</v>
      </c>
      <c r="B3040" s="106">
        <v>99</v>
      </c>
      <c r="C3040" s="106">
        <v>658609</v>
      </c>
    </row>
    <row r="3041" spans="1:3">
      <c r="A3041" s="102">
        <v>43265</v>
      </c>
      <c r="B3041" s="106">
        <v>65</v>
      </c>
      <c r="C3041" s="106">
        <v>643661</v>
      </c>
    </row>
    <row r="3042" spans="1:3">
      <c r="A3042" s="102">
        <v>43266</v>
      </c>
      <c r="B3042" s="106">
        <v>95</v>
      </c>
      <c r="C3042" s="106">
        <v>642301</v>
      </c>
    </row>
    <row r="3043" spans="1:3">
      <c r="A3043" s="102">
        <v>43269</v>
      </c>
      <c r="B3043" s="106">
        <v>116</v>
      </c>
      <c r="C3043" s="106">
        <v>653390</v>
      </c>
    </row>
    <row r="3044" spans="1:3">
      <c r="A3044" s="102">
        <v>43270</v>
      </c>
      <c r="B3044" s="106">
        <v>97</v>
      </c>
      <c r="C3044" s="106">
        <v>635028</v>
      </c>
    </row>
    <row r="3045" spans="1:3">
      <c r="A3045" s="102">
        <v>43271</v>
      </c>
      <c r="B3045" s="106">
        <v>83</v>
      </c>
      <c r="C3045" s="106">
        <v>603266</v>
      </c>
    </row>
    <row r="3046" spans="1:3">
      <c r="A3046" s="102">
        <v>43272</v>
      </c>
      <c r="B3046" s="106">
        <v>97</v>
      </c>
      <c r="C3046" s="106">
        <v>611205</v>
      </c>
    </row>
    <row r="3047" spans="1:3">
      <c r="A3047" s="102">
        <v>43273</v>
      </c>
      <c r="B3047" s="106">
        <v>77</v>
      </c>
      <c r="C3047" s="106">
        <v>642406</v>
      </c>
    </row>
    <row r="3048" spans="1:3">
      <c r="A3048" s="102">
        <v>43276</v>
      </c>
      <c r="B3048" s="106">
        <v>74</v>
      </c>
      <c r="C3048" s="106">
        <v>615501</v>
      </c>
    </row>
    <row r="3049" spans="1:3">
      <c r="A3049" s="102">
        <v>43277</v>
      </c>
      <c r="B3049" s="106">
        <v>98</v>
      </c>
      <c r="C3049" s="106">
        <v>642273</v>
      </c>
    </row>
    <row r="3050" spans="1:3">
      <c r="A3050" s="102">
        <v>43278</v>
      </c>
      <c r="B3050" s="106">
        <v>97</v>
      </c>
      <c r="C3050" s="106">
        <v>645787</v>
      </c>
    </row>
    <row r="3051" spans="1:3">
      <c r="A3051" s="102">
        <v>43279</v>
      </c>
      <c r="B3051" s="106">
        <v>30</v>
      </c>
      <c r="C3051" s="106">
        <v>657427</v>
      </c>
    </row>
    <row r="3052" spans="1:3">
      <c r="A3052" s="102">
        <v>43280</v>
      </c>
      <c r="B3052" s="106">
        <v>59</v>
      </c>
      <c r="C3052" s="106">
        <v>674176</v>
      </c>
    </row>
    <row r="3053" spans="1:3">
      <c r="A3053" s="102">
        <v>43281</v>
      </c>
      <c r="B3053" s="106">
        <v>59</v>
      </c>
      <c r="C3053" s="106">
        <v>674176</v>
      </c>
    </row>
    <row r="3054" spans="1:3">
      <c r="A3054" s="102">
        <v>43282</v>
      </c>
      <c r="B3054" s="106">
        <v>59</v>
      </c>
      <c r="C3054" s="106">
        <v>674176</v>
      </c>
    </row>
    <row r="3055" spans="1:3">
      <c r="A3055" s="102">
        <v>43283</v>
      </c>
      <c r="B3055" s="106">
        <v>0</v>
      </c>
      <c r="C3055" s="106">
        <v>673624</v>
      </c>
    </row>
    <row r="3056" spans="1:3">
      <c r="A3056" s="102">
        <v>43284</v>
      </c>
      <c r="B3056" s="106">
        <v>0</v>
      </c>
      <c r="C3056" s="106">
        <v>681277</v>
      </c>
    </row>
    <row r="3057" spans="1:3">
      <c r="A3057" s="102">
        <v>43285</v>
      </c>
      <c r="B3057" s="106">
        <v>50</v>
      </c>
      <c r="C3057" s="106">
        <v>691236</v>
      </c>
    </row>
    <row r="3058" spans="1:3">
      <c r="A3058" s="102">
        <v>43286</v>
      </c>
      <c r="B3058" s="106">
        <v>0</v>
      </c>
      <c r="C3058" s="106">
        <v>668041</v>
      </c>
    </row>
    <row r="3059" spans="1:3">
      <c r="A3059" s="102">
        <v>43287</v>
      </c>
      <c r="B3059" s="106">
        <v>50</v>
      </c>
      <c r="C3059" s="106">
        <v>674876</v>
      </c>
    </row>
    <row r="3060" spans="1:3">
      <c r="A3060" s="102">
        <v>43288</v>
      </c>
      <c r="B3060" s="106">
        <v>50</v>
      </c>
      <c r="C3060" s="106">
        <v>674876</v>
      </c>
    </row>
    <row r="3061" spans="1:3">
      <c r="A3061" s="102">
        <v>43289</v>
      </c>
      <c r="B3061" s="106">
        <v>50</v>
      </c>
      <c r="C3061" s="106">
        <v>674876</v>
      </c>
    </row>
    <row r="3062" spans="1:3">
      <c r="A3062" s="102">
        <v>43290</v>
      </c>
      <c r="B3062" s="106">
        <v>26</v>
      </c>
      <c r="C3062" s="106">
        <v>679435</v>
      </c>
    </row>
    <row r="3063" spans="1:3">
      <c r="A3063" s="102">
        <v>43291</v>
      </c>
      <c r="B3063" s="106">
        <v>31</v>
      </c>
      <c r="C3063" s="106">
        <v>674435</v>
      </c>
    </row>
    <row r="3064" spans="1:3">
      <c r="A3064" s="102">
        <v>43292</v>
      </c>
      <c r="B3064" s="106">
        <v>56</v>
      </c>
      <c r="C3064" s="106">
        <v>372550</v>
      </c>
    </row>
    <row r="3065" spans="1:3">
      <c r="A3065" s="102">
        <v>43293</v>
      </c>
      <c r="B3065" s="106">
        <v>135</v>
      </c>
      <c r="C3065" s="106">
        <v>666123</v>
      </c>
    </row>
    <row r="3066" spans="1:3">
      <c r="A3066" s="102">
        <v>43294</v>
      </c>
      <c r="B3066" s="106">
        <v>134</v>
      </c>
      <c r="C3066" s="106">
        <v>668277</v>
      </c>
    </row>
    <row r="3067" spans="1:3">
      <c r="A3067" s="102">
        <v>43295</v>
      </c>
      <c r="B3067" s="106">
        <v>134</v>
      </c>
      <c r="C3067" s="106">
        <v>668277</v>
      </c>
    </row>
    <row r="3068" spans="1:3">
      <c r="A3068" s="102">
        <v>43296</v>
      </c>
      <c r="B3068" s="106">
        <v>134</v>
      </c>
      <c r="C3068" s="106">
        <v>668277</v>
      </c>
    </row>
    <row r="3069" spans="1:3">
      <c r="A3069" s="102">
        <v>43297</v>
      </c>
      <c r="B3069" s="106">
        <v>95</v>
      </c>
      <c r="C3069" s="106">
        <v>667530</v>
      </c>
    </row>
    <row r="3070" spans="1:3">
      <c r="A3070" s="102">
        <v>43298</v>
      </c>
      <c r="B3070" s="106">
        <v>45</v>
      </c>
      <c r="C3070" s="106">
        <v>655163</v>
      </c>
    </row>
    <row r="3071" spans="1:3">
      <c r="A3071" s="102">
        <v>43299</v>
      </c>
      <c r="B3071" s="106">
        <v>50</v>
      </c>
      <c r="C3071" s="106">
        <v>651295</v>
      </c>
    </row>
    <row r="3072" spans="1:3">
      <c r="A3072" s="102">
        <v>43300</v>
      </c>
      <c r="B3072" s="106">
        <v>45</v>
      </c>
      <c r="C3072" s="106">
        <v>637701</v>
      </c>
    </row>
    <row r="3073" spans="1:3">
      <c r="A3073" s="102">
        <v>43301</v>
      </c>
      <c r="B3073" s="106">
        <v>65</v>
      </c>
      <c r="C3073" s="106">
        <v>632472</v>
      </c>
    </row>
    <row r="3074" spans="1:3">
      <c r="A3074" s="102">
        <v>43302</v>
      </c>
      <c r="B3074" s="106">
        <v>65</v>
      </c>
      <c r="C3074" s="106">
        <v>632472</v>
      </c>
    </row>
    <row r="3075" spans="1:3">
      <c r="A3075" s="102">
        <v>43303</v>
      </c>
      <c r="B3075" s="106">
        <v>65</v>
      </c>
      <c r="C3075" s="106">
        <v>632472</v>
      </c>
    </row>
    <row r="3076" spans="1:3">
      <c r="A3076" s="102">
        <v>43304</v>
      </c>
      <c r="B3076" s="106">
        <v>100</v>
      </c>
      <c r="C3076" s="106">
        <v>629201</v>
      </c>
    </row>
    <row r="3077" spans="1:3">
      <c r="A3077" s="102">
        <v>43305</v>
      </c>
      <c r="B3077" s="106">
        <v>50</v>
      </c>
      <c r="C3077" s="106">
        <v>630474</v>
      </c>
    </row>
    <row r="3078" spans="1:3">
      <c r="A3078" s="102">
        <v>43306</v>
      </c>
      <c r="B3078" s="106">
        <v>73</v>
      </c>
      <c r="C3078" s="106">
        <v>626572</v>
      </c>
    </row>
    <row r="3079" spans="1:3">
      <c r="A3079" s="102">
        <v>43307</v>
      </c>
      <c r="B3079" s="106">
        <v>120</v>
      </c>
      <c r="C3079" s="106">
        <v>622353</v>
      </c>
    </row>
    <row r="3080" spans="1:3">
      <c r="A3080" s="102">
        <v>43308</v>
      </c>
      <c r="B3080" s="106">
        <v>137</v>
      </c>
      <c r="C3080" s="106">
        <v>635106</v>
      </c>
    </row>
    <row r="3081" spans="1:3">
      <c r="A3081" s="102">
        <v>43309</v>
      </c>
      <c r="B3081" s="106">
        <v>137</v>
      </c>
      <c r="C3081" s="106">
        <v>635106</v>
      </c>
    </row>
    <row r="3082" spans="1:3">
      <c r="A3082" s="102">
        <v>43310</v>
      </c>
      <c r="B3082" s="106">
        <v>137</v>
      </c>
      <c r="C3082" s="106">
        <v>635106</v>
      </c>
    </row>
    <row r="3083" spans="1:3">
      <c r="A3083" s="102">
        <v>43311</v>
      </c>
      <c r="B3083" s="106">
        <v>226</v>
      </c>
      <c r="C3083" s="106">
        <v>639634</v>
      </c>
    </row>
    <row r="3084" spans="1:3">
      <c r="A3084" s="102">
        <v>43312</v>
      </c>
      <c r="B3084" s="106">
        <v>207</v>
      </c>
      <c r="C3084" s="106">
        <v>653028</v>
      </c>
    </row>
    <row r="3085" spans="1:3">
      <c r="A3085" s="102">
        <v>43313</v>
      </c>
      <c r="B3085" s="106">
        <v>254</v>
      </c>
      <c r="C3085" s="106">
        <v>654871</v>
      </c>
    </row>
    <row r="3086" spans="1:3">
      <c r="A3086" s="102">
        <v>43314</v>
      </c>
      <c r="B3086" s="106">
        <v>276</v>
      </c>
      <c r="C3086" s="106">
        <v>635834</v>
      </c>
    </row>
    <row r="3087" spans="1:3">
      <c r="A3087" s="102">
        <v>43315</v>
      </c>
      <c r="B3087" s="106">
        <v>290</v>
      </c>
      <c r="C3087" s="106">
        <v>651607</v>
      </c>
    </row>
    <row r="3088" spans="1:3">
      <c r="A3088" s="102">
        <v>43318</v>
      </c>
      <c r="B3088" s="106">
        <v>190</v>
      </c>
      <c r="C3088" s="106">
        <v>657098</v>
      </c>
    </row>
    <row r="3089" spans="1:3">
      <c r="A3089" s="102">
        <v>43319</v>
      </c>
      <c r="B3089" s="106">
        <v>90</v>
      </c>
      <c r="C3089" s="106">
        <v>661096</v>
      </c>
    </row>
    <row r="3090" spans="1:3">
      <c r="A3090" s="102">
        <v>43320</v>
      </c>
      <c r="B3090" s="106">
        <v>35</v>
      </c>
      <c r="C3090" s="106">
        <v>666927</v>
      </c>
    </row>
    <row r="3091" spans="1:3">
      <c r="A3091" s="102">
        <v>43321</v>
      </c>
      <c r="B3091" s="106">
        <v>35</v>
      </c>
      <c r="C3091" s="106">
        <v>676350</v>
      </c>
    </row>
    <row r="3092" spans="1:3">
      <c r="A3092" s="102">
        <v>43322</v>
      </c>
      <c r="B3092" s="106">
        <v>30</v>
      </c>
      <c r="C3092" s="106">
        <v>681613</v>
      </c>
    </row>
    <row r="3093" spans="1:3">
      <c r="A3093" s="102">
        <v>43325</v>
      </c>
      <c r="B3093" s="106">
        <v>31</v>
      </c>
      <c r="C3093" s="106">
        <v>683029</v>
      </c>
    </row>
    <row r="3094" spans="1:3">
      <c r="A3094" s="102">
        <v>43326</v>
      </c>
      <c r="B3094" s="106">
        <v>115</v>
      </c>
      <c r="C3094" s="106">
        <v>687584</v>
      </c>
    </row>
    <row r="3095" spans="1:3">
      <c r="A3095" s="102">
        <v>43327</v>
      </c>
      <c r="B3095" s="106">
        <v>100</v>
      </c>
      <c r="C3095" s="106">
        <v>677333</v>
      </c>
    </row>
    <row r="3096" spans="1:3">
      <c r="A3096" s="102">
        <v>43328</v>
      </c>
      <c r="B3096" s="106">
        <v>128</v>
      </c>
      <c r="C3096" s="106">
        <v>677284</v>
      </c>
    </row>
    <row r="3097" spans="1:3">
      <c r="A3097" s="102">
        <v>43329</v>
      </c>
      <c r="B3097" s="106">
        <v>128</v>
      </c>
      <c r="C3097" s="106">
        <v>681591</v>
      </c>
    </row>
    <row r="3098" spans="1:3">
      <c r="A3098" s="102">
        <v>43330</v>
      </c>
      <c r="B3098" s="106">
        <v>128</v>
      </c>
      <c r="C3098" s="106">
        <v>681591</v>
      </c>
    </row>
    <row r="3099" spans="1:3">
      <c r="A3099" s="102">
        <v>43331</v>
      </c>
      <c r="B3099" s="106">
        <v>128</v>
      </c>
      <c r="C3099" s="106">
        <v>681591</v>
      </c>
    </row>
    <row r="3100" spans="1:3">
      <c r="A3100" s="102">
        <v>43332</v>
      </c>
      <c r="B3100" s="106">
        <v>45</v>
      </c>
      <c r="C3100" s="106">
        <v>670770</v>
      </c>
    </row>
    <row r="3101" spans="1:3">
      <c r="A3101" s="102">
        <v>43333</v>
      </c>
      <c r="B3101" s="106">
        <v>46</v>
      </c>
      <c r="C3101" s="106">
        <v>678742</v>
      </c>
    </row>
    <row r="3102" spans="1:3">
      <c r="A3102" s="102">
        <v>43334</v>
      </c>
      <c r="B3102" s="106">
        <v>61</v>
      </c>
      <c r="C3102" s="106">
        <v>682158</v>
      </c>
    </row>
    <row r="3103" spans="1:3">
      <c r="A3103" s="102">
        <v>43335</v>
      </c>
      <c r="B3103" s="106">
        <v>68</v>
      </c>
      <c r="C3103" s="106">
        <v>670696</v>
      </c>
    </row>
    <row r="3104" spans="1:3">
      <c r="A3104" s="102">
        <v>43336</v>
      </c>
      <c r="B3104" s="106">
        <v>55</v>
      </c>
      <c r="C3104" s="106">
        <v>663785</v>
      </c>
    </row>
    <row r="3105" spans="1:3">
      <c r="A3105" s="102">
        <v>43337</v>
      </c>
      <c r="B3105" s="106">
        <v>55</v>
      </c>
      <c r="C3105" s="106">
        <v>663785</v>
      </c>
    </row>
    <row r="3106" spans="1:3">
      <c r="A3106" s="102">
        <v>43338</v>
      </c>
      <c r="B3106" s="106">
        <v>55</v>
      </c>
      <c r="C3106" s="106">
        <v>663785</v>
      </c>
    </row>
    <row r="3107" spans="1:3">
      <c r="A3107" s="102">
        <v>43339</v>
      </c>
      <c r="B3107" s="106">
        <v>70</v>
      </c>
      <c r="C3107" s="106">
        <v>664167</v>
      </c>
    </row>
    <row r="3108" spans="1:3">
      <c r="A3108" s="102">
        <v>43340</v>
      </c>
      <c r="B3108" s="106">
        <v>75</v>
      </c>
      <c r="C3108" s="106">
        <v>657127</v>
      </c>
    </row>
    <row r="3109" spans="1:3">
      <c r="A3109" s="102">
        <v>43341</v>
      </c>
      <c r="B3109" s="106">
        <v>47</v>
      </c>
      <c r="C3109" s="106">
        <v>654357</v>
      </c>
    </row>
    <row r="3110" spans="1:3">
      <c r="A3110" s="102">
        <v>43342</v>
      </c>
      <c r="B3110" s="106">
        <v>46</v>
      </c>
      <c r="C3110" s="106">
        <v>657990</v>
      </c>
    </row>
    <row r="3111" spans="1:3">
      <c r="A3111" s="102">
        <v>43343</v>
      </c>
      <c r="B3111" s="106">
        <v>30</v>
      </c>
      <c r="C3111" s="106">
        <v>668783</v>
      </c>
    </row>
    <row r="3112" spans="1:3">
      <c r="A3112" s="102">
        <v>43344</v>
      </c>
      <c r="B3112" s="106">
        <v>30</v>
      </c>
      <c r="C3112" s="106">
        <v>668783</v>
      </c>
    </row>
    <row r="3113" spans="1:3">
      <c r="A3113" s="102">
        <v>43345</v>
      </c>
      <c r="B3113" s="106">
        <v>30</v>
      </c>
      <c r="C3113" s="106">
        <v>668783</v>
      </c>
    </row>
    <row r="3114" spans="1:3">
      <c r="A3114" s="102">
        <v>43346</v>
      </c>
      <c r="B3114" s="106">
        <v>44</v>
      </c>
      <c r="C3114" s="106">
        <v>689418</v>
      </c>
    </row>
    <row r="3115" spans="1:3">
      <c r="A3115" s="102">
        <v>43347</v>
      </c>
      <c r="B3115" s="106">
        <v>41</v>
      </c>
      <c r="C3115" s="106">
        <v>708542</v>
      </c>
    </row>
    <row r="3116" spans="1:3">
      <c r="A3116" s="102">
        <v>43348</v>
      </c>
      <c r="B3116" s="106">
        <v>41</v>
      </c>
      <c r="C3116" s="106">
        <v>700854</v>
      </c>
    </row>
    <row r="3117" spans="1:3">
      <c r="A3117" s="102">
        <v>43349</v>
      </c>
      <c r="B3117" s="106">
        <v>40</v>
      </c>
      <c r="C3117" s="106">
        <v>691362</v>
      </c>
    </row>
    <row r="3118" spans="1:3">
      <c r="A3118" s="102">
        <v>43350</v>
      </c>
      <c r="B3118" s="106">
        <v>35</v>
      </c>
      <c r="C3118" s="106">
        <v>691414</v>
      </c>
    </row>
    <row r="3119" spans="1:3">
      <c r="A3119" s="102">
        <v>43351</v>
      </c>
      <c r="B3119" s="106">
        <v>35</v>
      </c>
      <c r="C3119" s="106">
        <v>691414</v>
      </c>
    </row>
    <row r="3120" spans="1:3">
      <c r="A3120" s="102">
        <v>43352</v>
      </c>
      <c r="B3120" s="106">
        <v>35</v>
      </c>
      <c r="C3120" s="106">
        <v>691414</v>
      </c>
    </row>
    <row r="3121" spans="1:3">
      <c r="A3121" s="102">
        <v>43353</v>
      </c>
      <c r="B3121" s="106">
        <v>41</v>
      </c>
      <c r="C3121" s="106">
        <v>675456</v>
      </c>
    </row>
    <row r="3122" spans="1:3">
      <c r="A3122" s="102">
        <v>43354</v>
      </c>
      <c r="B3122" s="106">
        <v>240</v>
      </c>
      <c r="C3122" s="106">
        <v>671144</v>
      </c>
    </row>
    <row r="3123" spans="1:3">
      <c r="A3123" s="102">
        <v>43355</v>
      </c>
      <c r="B3123" s="106">
        <v>47</v>
      </c>
      <c r="C3123" s="106">
        <v>660361</v>
      </c>
    </row>
    <row r="3124" spans="1:3">
      <c r="A3124" s="102">
        <v>43356</v>
      </c>
      <c r="B3124" s="106">
        <v>40</v>
      </c>
      <c r="C3124" s="106">
        <v>646967</v>
      </c>
    </row>
    <row r="3125" spans="1:3">
      <c r="A3125" s="102">
        <v>43357</v>
      </c>
      <c r="B3125" s="106">
        <v>74</v>
      </c>
      <c r="C3125" s="106">
        <v>662114</v>
      </c>
    </row>
    <row r="3126" spans="1:3">
      <c r="A3126" s="102">
        <v>43358</v>
      </c>
      <c r="B3126" s="106">
        <v>74</v>
      </c>
      <c r="C3126" s="106">
        <v>662114</v>
      </c>
    </row>
    <row r="3127" spans="1:3">
      <c r="A3127" s="102">
        <v>43359</v>
      </c>
      <c r="B3127" s="106">
        <v>74</v>
      </c>
      <c r="C3127" s="106">
        <v>662114</v>
      </c>
    </row>
    <row r="3128" spans="1:3">
      <c r="A3128" s="102">
        <v>43360</v>
      </c>
      <c r="B3128" s="106">
        <v>93</v>
      </c>
      <c r="C3128" s="106">
        <v>670399</v>
      </c>
    </row>
    <row r="3129" spans="1:3">
      <c r="A3129" s="102">
        <v>43361</v>
      </c>
      <c r="B3129" s="106">
        <v>119</v>
      </c>
      <c r="C3129" s="106">
        <v>658355</v>
      </c>
    </row>
    <row r="3130" spans="1:3">
      <c r="A3130" s="102">
        <v>43362</v>
      </c>
      <c r="B3130" s="106">
        <v>30</v>
      </c>
      <c r="C3130" s="106">
        <v>614441</v>
      </c>
    </row>
    <row r="3131" spans="1:3">
      <c r="A3131" s="102">
        <v>43363</v>
      </c>
      <c r="B3131" s="106">
        <v>30</v>
      </c>
      <c r="C3131" s="106">
        <v>619163</v>
      </c>
    </row>
    <row r="3132" spans="1:3">
      <c r="A3132" s="102">
        <v>43364</v>
      </c>
      <c r="B3132" s="106">
        <v>21</v>
      </c>
      <c r="C3132" s="106">
        <v>654462</v>
      </c>
    </row>
    <row r="3133" spans="1:3">
      <c r="A3133" s="102">
        <v>43365</v>
      </c>
      <c r="B3133" s="106">
        <v>21</v>
      </c>
      <c r="C3133" s="106">
        <v>654462</v>
      </c>
    </row>
    <row r="3134" spans="1:3">
      <c r="A3134" s="102">
        <v>43366</v>
      </c>
      <c r="B3134" s="106">
        <v>21</v>
      </c>
      <c r="C3134" s="106">
        <v>654462</v>
      </c>
    </row>
    <row r="3135" spans="1:3">
      <c r="A3135" s="102">
        <v>43367</v>
      </c>
      <c r="B3135" s="106">
        <v>563</v>
      </c>
      <c r="C3135" s="106">
        <v>639252</v>
      </c>
    </row>
    <row r="3136" spans="1:3">
      <c r="A3136" s="102">
        <v>43368</v>
      </c>
      <c r="B3136" s="106">
        <v>8</v>
      </c>
      <c r="C3136" s="106">
        <v>639788</v>
      </c>
    </row>
    <row r="3137" spans="1:3">
      <c r="A3137" s="102">
        <v>43369</v>
      </c>
      <c r="B3137" s="106">
        <v>48</v>
      </c>
      <c r="C3137" s="106">
        <v>648272</v>
      </c>
    </row>
    <row r="3138" spans="1:3">
      <c r="A3138" s="102">
        <v>43370</v>
      </c>
      <c r="B3138" s="106">
        <v>29</v>
      </c>
      <c r="C3138" s="106">
        <v>635360</v>
      </c>
    </row>
    <row r="3139" spans="1:3">
      <c r="A3139" s="102">
        <v>43371</v>
      </c>
      <c r="B3139" s="106">
        <v>130</v>
      </c>
      <c r="C3139" s="106">
        <v>639516</v>
      </c>
    </row>
    <row r="3140" spans="1:3">
      <c r="A3140" s="102">
        <v>43372</v>
      </c>
      <c r="B3140" s="106">
        <v>130</v>
      </c>
      <c r="C3140" s="106">
        <v>639516</v>
      </c>
    </row>
    <row r="3141" spans="1:3">
      <c r="A3141" s="102">
        <v>43373</v>
      </c>
      <c r="B3141" s="106">
        <v>130</v>
      </c>
      <c r="C3141" s="106">
        <v>639516</v>
      </c>
    </row>
    <row r="3142" spans="1:3">
      <c r="A3142" s="102">
        <v>43374</v>
      </c>
      <c r="B3142" s="106">
        <v>71</v>
      </c>
      <c r="C3142" s="106">
        <v>643963</v>
      </c>
    </row>
    <row r="3143" spans="1:3">
      <c r="A3143" s="102">
        <v>43375</v>
      </c>
      <c r="B3143" s="106">
        <v>91</v>
      </c>
      <c r="C3143" s="106">
        <v>641059</v>
      </c>
    </row>
    <row r="3144" spans="1:3">
      <c r="A3144" s="102">
        <v>43376</v>
      </c>
      <c r="B3144" s="106">
        <v>88</v>
      </c>
      <c r="C3144" s="106">
        <v>636557</v>
      </c>
    </row>
    <row r="3145" spans="1:3">
      <c r="A3145" s="102">
        <v>43377</v>
      </c>
      <c r="B3145" s="106">
        <v>60</v>
      </c>
      <c r="C3145" s="106">
        <v>647921</v>
      </c>
    </row>
    <row r="3146" spans="1:3">
      <c r="A3146" s="102">
        <v>43378</v>
      </c>
      <c r="B3146" s="106">
        <v>70</v>
      </c>
      <c r="C3146" s="106">
        <v>641371</v>
      </c>
    </row>
    <row r="3147" spans="1:3">
      <c r="A3147" s="102">
        <v>43379</v>
      </c>
      <c r="B3147" s="106">
        <v>70</v>
      </c>
      <c r="C3147" s="106">
        <v>641371</v>
      </c>
    </row>
    <row r="3148" spans="1:3">
      <c r="A3148" s="102">
        <v>43380</v>
      </c>
      <c r="B3148" s="106">
        <v>70</v>
      </c>
      <c r="C3148" s="106">
        <v>641371</v>
      </c>
    </row>
    <row r="3149" spans="1:3">
      <c r="A3149" s="102">
        <v>43381</v>
      </c>
      <c r="B3149" s="106">
        <v>58</v>
      </c>
      <c r="C3149" s="106">
        <v>644616</v>
      </c>
    </row>
    <row r="3150" spans="1:3">
      <c r="A3150" s="102">
        <v>43382</v>
      </c>
      <c r="B3150" s="106">
        <v>40</v>
      </c>
      <c r="C3150" s="106">
        <v>642142</v>
      </c>
    </row>
    <row r="3151" spans="1:3">
      <c r="A3151" s="102">
        <v>43383</v>
      </c>
      <c r="B3151" s="106">
        <v>35</v>
      </c>
      <c r="C3151" s="106">
        <v>654747</v>
      </c>
    </row>
    <row r="3152" spans="1:3">
      <c r="A3152" s="102">
        <v>43384</v>
      </c>
      <c r="B3152" s="106">
        <v>45</v>
      </c>
      <c r="C3152" s="106">
        <v>652500</v>
      </c>
    </row>
    <row r="3153" spans="1:3">
      <c r="A3153" s="102">
        <v>43385</v>
      </c>
      <c r="B3153" s="106">
        <v>50</v>
      </c>
      <c r="C3153" s="106">
        <v>654703</v>
      </c>
    </row>
    <row r="3154" spans="1:3">
      <c r="A3154" s="102">
        <v>43386</v>
      </c>
      <c r="B3154" s="106">
        <v>50</v>
      </c>
      <c r="C3154" s="106">
        <v>654703</v>
      </c>
    </row>
    <row r="3155" spans="1:3">
      <c r="A3155" s="102">
        <v>43387</v>
      </c>
      <c r="B3155" s="106">
        <v>50</v>
      </c>
      <c r="C3155" s="106">
        <v>654703</v>
      </c>
    </row>
    <row r="3156" spans="1:3">
      <c r="A3156" s="102">
        <v>43388</v>
      </c>
      <c r="B3156" s="106">
        <v>59</v>
      </c>
      <c r="C3156" s="106">
        <v>647295</v>
      </c>
    </row>
    <row r="3157" spans="1:3">
      <c r="A3157" s="102">
        <v>43389</v>
      </c>
      <c r="B3157" s="106">
        <v>56</v>
      </c>
      <c r="C3157" s="106">
        <v>644509</v>
      </c>
    </row>
    <row r="3158" spans="1:3">
      <c r="A3158" s="102">
        <v>43390</v>
      </c>
      <c r="B3158" s="106">
        <v>20</v>
      </c>
      <c r="C3158" s="106">
        <v>634594</v>
      </c>
    </row>
    <row r="3159" spans="1:3">
      <c r="A3159" s="102">
        <v>43391</v>
      </c>
      <c r="B3159" s="106">
        <v>0</v>
      </c>
      <c r="C3159" s="106">
        <v>617932</v>
      </c>
    </row>
    <row r="3160" spans="1:3">
      <c r="A3160" s="102">
        <v>43392</v>
      </c>
      <c r="B3160" s="106">
        <v>24</v>
      </c>
      <c r="C3160" s="106">
        <v>619664</v>
      </c>
    </row>
    <row r="3161" spans="1:3">
      <c r="A3161" s="102">
        <v>43393</v>
      </c>
      <c r="B3161" s="106">
        <v>24</v>
      </c>
      <c r="C3161" s="106">
        <v>619664</v>
      </c>
    </row>
    <row r="3162" spans="1:3">
      <c r="A3162" s="102">
        <v>43394</v>
      </c>
      <c r="B3162" s="106">
        <v>24</v>
      </c>
      <c r="C3162" s="106">
        <v>619664</v>
      </c>
    </row>
    <row r="3163" spans="1:3">
      <c r="A3163" s="102">
        <v>43395</v>
      </c>
      <c r="B3163" s="106">
        <v>1</v>
      </c>
      <c r="C3163" s="106">
        <v>618044</v>
      </c>
    </row>
    <row r="3164" spans="1:3">
      <c r="A3164" s="102">
        <v>43396</v>
      </c>
      <c r="B3164" s="106">
        <v>8</v>
      </c>
      <c r="C3164" s="106">
        <v>608951</v>
      </c>
    </row>
    <row r="3165" spans="1:3">
      <c r="A3165" s="102">
        <v>43397</v>
      </c>
      <c r="B3165" s="106">
        <v>10</v>
      </c>
      <c r="C3165" s="106">
        <v>597677</v>
      </c>
    </row>
    <row r="3166" spans="1:3">
      <c r="A3166" s="102">
        <v>43398</v>
      </c>
      <c r="B3166" s="106">
        <v>234</v>
      </c>
      <c r="C3166" s="106">
        <v>585666</v>
      </c>
    </row>
    <row r="3167" spans="1:3">
      <c r="A3167" s="102">
        <v>43399</v>
      </c>
      <c r="B3167" s="106">
        <v>248</v>
      </c>
      <c r="C3167" s="106">
        <v>591525</v>
      </c>
    </row>
    <row r="3168" spans="1:3">
      <c r="A3168" s="102">
        <v>43400</v>
      </c>
      <c r="B3168" s="106">
        <v>248</v>
      </c>
      <c r="C3168" s="106">
        <v>591525</v>
      </c>
    </row>
    <row r="3169" spans="1:3">
      <c r="A3169" s="102">
        <v>43401</v>
      </c>
      <c r="B3169" s="106">
        <v>248</v>
      </c>
      <c r="C3169" s="106">
        <v>591525</v>
      </c>
    </row>
    <row r="3170" spans="1:3">
      <c r="A3170" s="102">
        <v>43402</v>
      </c>
      <c r="B3170" s="106">
        <v>20</v>
      </c>
      <c r="C3170" s="106">
        <v>607308</v>
      </c>
    </row>
    <row r="3171" spans="1:3">
      <c r="A3171" s="102">
        <v>43403</v>
      </c>
      <c r="B3171" s="106">
        <v>1</v>
      </c>
      <c r="C3171" s="106">
        <v>610028</v>
      </c>
    </row>
    <row r="3172" spans="1:3">
      <c r="A3172" s="102">
        <v>43404</v>
      </c>
      <c r="B3172" s="106">
        <v>615</v>
      </c>
      <c r="C3172" s="106">
        <v>618481</v>
      </c>
    </row>
    <row r="3173" spans="1:3">
      <c r="A3173" s="102">
        <v>43405</v>
      </c>
      <c r="B3173" s="106">
        <v>203</v>
      </c>
      <c r="C3173" s="106">
        <v>591684</v>
      </c>
    </row>
    <row r="3174" spans="1:3">
      <c r="A3174" s="102">
        <v>43406</v>
      </c>
      <c r="B3174" s="106">
        <v>125</v>
      </c>
      <c r="C3174" s="106">
        <v>617415</v>
      </c>
    </row>
    <row r="3175" spans="1:3">
      <c r="A3175" s="102">
        <v>43407</v>
      </c>
      <c r="B3175" s="106">
        <v>125</v>
      </c>
      <c r="C3175" s="106">
        <v>617415</v>
      </c>
    </row>
    <row r="3176" spans="1:3">
      <c r="A3176" s="102">
        <v>43408</v>
      </c>
      <c r="B3176" s="106">
        <v>125</v>
      </c>
      <c r="C3176" s="106">
        <v>617415</v>
      </c>
    </row>
    <row r="3177" spans="1:3">
      <c r="A3177" s="102">
        <v>43409</v>
      </c>
      <c r="B3177" s="106">
        <v>129</v>
      </c>
      <c r="C3177" s="106">
        <v>633276</v>
      </c>
    </row>
    <row r="3178" spans="1:3">
      <c r="A3178" s="102">
        <v>43410</v>
      </c>
      <c r="B3178" s="106">
        <v>135</v>
      </c>
      <c r="C3178" s="106">
        <v>627631</v>
      </c>
    </row>
    <row r="3179" spans="1:3">
      <c r="A3179" s="102">
        <v>43411</v>
      </c>
      <c r="B3179" s="106">
        <v>126</v>
      </c>
      <c r="C3179" s="106">
        <v>624378</v>
      </c>
    </row>
    <row r="3180" spans="1:3">
      <c r="A3180" s="102">
        <v>43412</v>
      </c>
      <c r="B3180" s="106">
        <v>0</v>
      </c>
      <c r="C3180" s="106">
        <v>651016</v>
      </c>
    </row>
    <row r="3181" spans="1:3">
      <c r="A3181" s="102">
        <v>43413</v>
      </c>
      <c r="B3181" s="106">
        <v>30</v>
      </c>
      <c r="C3181" s="106">
        <v>650780</v>
      </c>
    </row>
    <row r="3182" spans="1:3">
      <c r="A3182" s="102">
        <v>43414</v>
      </c>
      <c r="B3182" s="106">
        <v>30</v>
      </c>
      <c r="C3182" s="106">
        <v>650780</v>
      </c>
    </row>
    <row r="3183" spans="1:3">
      <c r="A3183" s="102">
        <v>43415</v>
      </c>
      <c r="B3183" s="106">
        <v>30</v>
      </c>
      <c r="C3183" s="106">
        <v>650780</v>
      </c>
    </row>
    <row r="3184" spans="1:3">
      <c r="A3184" s="102">
        <v>43416</v>
      </c>
      <c r="B3184" s="106">
        <v>3</v>
      </c>
      <c r="C3184" s="106">
        <v>638334</v>
      </c>
    </row>
    <row r="3185" spans="1:3">
      <c r="A3185" s="102">
        <v>43417</v>
      </c>
      <c r="B3185" s="106">
        <v>30</v>
      </c>
      <c r="C3185" s="106">
        <v>642873</v>
      </c>
    </row>
    <row r="3186" spans="1:3">
      <c r="A3186" s="102">
        <v>43418</v>
      </c>
      <c r="B3186" s="106">
        <v>96</v>
      </c>
      <c r="C3186" s="106">
        <v>630602</v>
      </c>
    </row>
    <row r="3187" spans="1:3">
      <c r="A3187" s="102">
        <v>43419</v>
      </c>
      <c r="B3187" s="106">
        <v>85</v>
      </c>
      <c r="C3187" s="106">
        <v>571105</v>
      </c>
    </row>
    <row r="3188" spans="1:3">
      <c r="A3188" s="102">
        <v>43420</v>
      </c>
      <c r="B3188" s="106">
        <v>85</v>
      </c>
      <c r="C3188" s="106">
        <v>632810</v>
      </c>
    </row>
    <row r="3189" spans="1:3">
      <c r="A3189" s="102">
        <v>43421</v>
      </c>
      <c r="B3189" s="106">
        <v>85</v>
      </c>
      <c r="C3189" s="106">
        <v>632810</v>
      </c>
    </row>
    <row r="3190" spans="1:3">
      <c r="A3190" s="102">
        <v>43422</v>
      </c>
      <c r="B3190" s="106">
        <v>85</v>
      </c>
      <c r="C3190" s="106">
        <v>632810</v>
      </c>
    </row>
    <row r="3191" spans="1:3">
      <c r="A3191" s="102">
        <v>43423</v>
      </c>
      <c r="B3191" s="106">
        <v>66</v>
      </c>
      <c r="C3191" s="106">
        <v>632147</v>
      </c>
    </row>
    <row r="3192" spans="1:3">
      <c r="A3192" s="102">
        <v>43424</v>
      </c>
      <c r="B3192" s="106">
        <v>98</v>
      </c>
      <c r="C3192" s="106">
        <v>636811</v>
      </c>
    </row>
    <row r="3193" spans="1:3">
      <c r="A3193" s="102">
        <v>43425</v>
      </c>
      <c r="B3193" s="106">
        <v>285</v>
      </c>
      <c r="C3193" s="106">
        <v>642067</v>
      </c>
    </row>
    <row r="3194" spans="1:3">
      <c r="A3194" s="102">
        <v>43426</v>
      </c>
      <c r="B3194" s="106">
        <v>662</v>
      </c>
      <c r="C3194" s="106">
        <v>627086</v>
      </c>
    </row>
    <row r="3195" spans="1:3">
      <c r="A3195" s="102">
        <v>43427</v>
      </c>
      <c r="B3195" s="106">
        <v>380</v>
      </c>
      <c r="C3195" s="106">
        <v>628773</v>
      </c>
    </row>
    <row r="3196" spans="1:3">
      <c r="A3196" s="102">
        <v>43428</v>
      </c>
      <c r="B3196" s="106">
        <v>380</v>
      </c>
      <c r="C3196" s="106">
        <v>628773</v>
      </c>
    </row>
    <row r="3197" spans="1:3">
      <c r="A3197" s="102">
        <v>43429</v>
      </c>
      <c r="B3197" s="106">
        <v>380</v>
      </c>
      <c r="C3197" s="106">
        <v>628773</v>
      </c>
    </row>
    <row r="3198" spans="1:3">
      <c r="A3198" s="102">
        <v>43430</v>
      </c>
      <c r="B3198" s="106">
        <v>391</v>
      </c>
      <c r="C3198" s="106">
        <v>634510</v>
      </c>
    </row>
    <row r="3199" spans="1:3">
      <c r="A3199" s="102">
        <v>43431</v>
      </c>
      <c r="B3199" s="106">
        <v>101</v>
      </c>
      <c r="C3199" s="106">
        <v>621496</v>
      </c>
    </row>
    <row r="3200" spans="1:3">
      <c r="A3200" s="102">
        <v>43432</v>
      </c>
      <c r="B3200" s="106">
        <v>124</v>
      </c>
      <c r="C3200" s="106">
        <v>624879</v>
      </c>
    </row>
    <row r="3201" spans="1:3">
      <c r="A3201" s="102">
        <v>43433</v>
      </c>
      <c r="B3201" s="106">
        <v>82</v>
      </c>
      <c r="C3201" s="106">
        <v>635573</v>
      </c>
    </row>
    <row r="3202" spans="1:3">
      <c r="A3202" s="102">
        <v>43434</v>
      </c>
      <c r="B3202" s="106">
        <v>256</v>
      </c>
      <c r="C3202" s="106">
        <v>654824</v>
      </c>
    </row>
    <row r="3203" spans="1:3">
      <c r="A3203" s="102">
        <v>43435</v>
      </c>
      <c r="B3203" s="106">
        <v>256</v>
      </c>
      <c r="C3203" s="106">
        <v>654824</v>
      </c>
    </row>
    <row r="3204" spans="1:3">
      <c r="A3204" s="102">
        <v>43436</v>
      </c>
      <c r="B3204" s="106">
        <v>256</v>
      </c>
      <c r="C3204" s="106">
        <v>654824</v>
      </c>
    </row>
    <row r="3205" spans="1:3">
      <c r="A3205" s="102">
        <v>43437</v>
      </c>
      <c r="B3205" s="106">
        <v>254</v>
      </c>
      <c r="C3205" s="106">
        <v>655933</v>
      </c>
    </row>
    <row r="3206" spans="1:3">
      <c r="A3206" s="102">
        <v>43438</v>
      </c>
      <c r="B3206" s="106">
        <v>220</v>
      </c>
      <c r="C3206" s="106">
        <v>656806</v>
      </c>
    </row>
    <row r="3207" spans="1:3">
      <c r="A3207" s="102">
        <v>43439</v>
      </c>
      <c r="B3207" s="106">
        <v>25</v>
      </c>
      <c r="C3207" s="106">
        <v>657096</v>
      </c>
    </row>
    <row r="3208" spans="1:3">
      <c r="A3208" s="102">
        <v>43440</v>
      </c>
      <c r="B3208" s="106">
        <v>25</v>
      </c>
      <c r="C3208" s="106">
        <v>662859</v>
      </c>
    </row>
    <row r="3209" spans="1:3">
      <c r="A3209" s="102">
        <v>43441</v>
      </c>
      <c r="B3209" s="106">
        <v>40</v>
      </c>
      <c r="C3209" s="106">
        <v>654218</v>
      </c>
    </row>
    <row r="3210" spans="1:3">
      <c r="A3210" s="102">
        <v>43442</v>
      </c>
      <c r="B3210" s="106">
        <v>40</v>
      </c>
      <c r="C3210" s="106">
        <v>654218</v>
      </c>
    </row>
    <row r="3211" spans="1:3">
      <c r="A3211" s="102">
        <v>43443</v>
      </c>
      <c r="B3211" s="106">
        <v>40</v>
      </c>
      <c r="C3211" s="106">
        <v>654218</v>
      </c>
    </row>
    <row r="3212" spans="1:3">
      <c r="A3212" s="102">
        <v>43444</v>
      </c>
      <c r="B3212" s="106">
        <v>69</v>
      </c>
      <c r="C3212" s="106">
        <v>646203</v>
      </c>
    </row>
    <row r="3213" spans="1:3">
      <c r="A3213" s="102">
        <v>43445</v>
      </c>
      <c r="B3213" s="106">
        <v>68</v>
      </c>
      <c r="C3213" s="106">
        <v>656520</v>
      </c>
    </row>
    <row r="3214" spans="1:3">
      <c r="A3214" s="102">
        <v>43446</v>
      </c>
      <c r="B3214" s="106">
        <v>75</v>
      </c>
      <c r="C3214" s="106">
        <v>642923</v>
      </c>
    </row>
    <row r="3215" spans="1:3">
      <c r="A3215" s="102">
        <v>43447</v>
      </c>
      <c r="B3215" s="106">
        <v>52</v>
      </c>
      <c r="C3215" s="106">
        <v>639448</v>
      </c>
    </row>
    <row r="3216" spans="1:3">
      <c r="A3216" s="102">
        <v>43448</v>
      </c>
      <c r="B3216" s="106">
        <v>55</v>
      </c>
      <c r="C3216" s="106">
        <v>630848</v>
      </c>
    </row>
    <row r="3217" spans="1:3">
      <c r="A3217" s="102">
        <v>43449</v>
      </c>
      <c r="B3217" s="106">
        <v>55</v>
      </c>
      <c r="C3217" s="106">
        <v>630848</v>
      </c>
    </row>
    <row r="3218" spans="1:3">
      <c r="A3218" s="102">
        <v>43450</v>
      </c>
      <c r="B3218" s="106">
        <v>55</v>
      </c>
      <c r="C3218" s="106">
        <v>630848</v>
      </c>
    </row>
    <row r="3219" spans="1:3">
      <c r="A3219" s="102">
        <v>43451</v>
      </c>
      <c r="B3219" s="106">
        <v>46</v>
      </c>
      <c r="C3219" s="106">
        <v>642674</v>
      </c>
    </row>
    <row r="3220" spans="1:3">
      <c r="A3220" s="102">
        <v>43452</v>
      </c>
      <c r="B3220" s="106">
        <v>81</v>
      </c>
      <c r="C3220" s="106">
        <v>635054</v>
      </c>
    </row>
    <row r="3221" spans="1:3">
      <c r="A3221" s="102">
        <v>43453</v>
      </c>
      <c r="B3221" s="106">
        <v>84</v>
      </c>
      <c r="C3221" s="106">
        <v>584205</v>
      </c>
    </row>
    <row r="3222" spans="1:3">
      <c r="A3222" s="102">
        <v>43454</v>
      </c>
      <c r="B3222" s="106">
        <v>24</v>
      </c>
      <c r="C3222" s="106">
        <v>621765</v>
      </c>
    </row>
    <row r="3223" spans="1:3">
      <c r="A3223" s="102">
        <v>43455</v>
      </c>
      <c r="B3223" s="106">
        <v>40</v>
      </c>
      <c r="C3223" s="106">
        <v>613912</v>
      </c>
    </row>
    <row r="3224" spans="1:3">
      <c r="A3224" s="102">
        <v>43456</v>
      </c>
      <c r="B3224" s="106">
        <v>40</v>
      </c>
      <c r="C3224" s="106">
        <v>613912</v>
      </c>
    </row>
    <row r="3225" spans="1:3">
      <c r="A3225" s="102">
        <v>43457</v>
      </c>
      <c r="B3225" s="106">
        <v>40</v>
      </c>
      <c r="C3225" s="106">
        <v>613912</v>
      </c>
    </row>
    <row r="3226" spans="1:3">
      <c r="A3226" s="102">
        <v>43458</v>
      </c>
      <c r="B3226" s="106">
        <v>35</v>
      </c>
      <c r="C3226" s="106">
        <v>612344</v>
      </c>
    </row>
    <row r="3227" spans="1:3">
      <c r="A3227" s="102">
        <v>43459</v>
      </c>
      <c r="B3227" s="106">
        <v>35</v>
      </c>
      <c r="C3227" s="106">
        <v>612344</v>
      </c>
    </row>
    <row r="3228" spans="1:3">
      <c r="A3228" s="102">
        <v>43460</v>
      </c>
      <c r="B3228" s="106">
        <v>35</v>
      </c>
      <c r="C3228" s="106">
        <v>612344</v>
      </c>
    </row>
    <row r="3229" spans="1:3">
      <c r="A3229" s="102">
        <v>43461</v>
      </c>
      <c r="B3229" s="106">
        <v>10</v>
      </c>
      <c r="C3229" s="106">
        <v>622120</v>
      </c>
    </row>
    <row r="3230" spans="1:3">
      <c r="A3230" s="102">
        <v>43462</v>
      </c>
      <c r="B3230" s="106">
        <v>50</v>
      </c>
      <c r="C3230" s="106">
        <v>613563</v>
      </c>
    </row>
    <row r="3231" spans="1:3">
      <c r="A3231" s="102">
        <v>43463</v>
      </c>
      <c r="B3231" s="106">
        <v>50</v>
      </c>
      <c r="C3231" s="106">
        <v>613563</v>
      </c>
    </row>
    <row r="3232" spans="1:3">
      <c r="A3232" s="102">
        <v>43464</v>
      </c>
      <c r="B3232" s="106">
        <v>50</v>
      </c>
      <c r="C3232" s="106">
        <v>613563</v>
      </c>
    </row>
    <row r="3233" spans="1:3">
      <c r="A3233" s="102">
        <v>43465</v>
      </c>
      <c r="B3233" s="106">
        <v>971</v>
      </c>
      <c r="C3233" s="106">
        <v>623531</v>
      </c>
    </row>
    <row r="3234" spans="1:3">
      <c r="A3234" s="102">
        <v>43466</v>
      </c>
      <c r="B3234" s="106">
        <v>971</v>
      </c>
      <c r="C3234" s="106">
        <v>623531</v>
      </c>
    </row>
    <row r="3235" spans="1:3">
      <c r="A3235" s="102">
        <v>43467</v>
      </c>
      <c r="B3235" s="106">
        <v>146</v>
      </c>
      <c r="C3235" s="106">
        <v>654197</v>
      </c>
    </row>
    <row r="3236" spans="1:3">
      <c r="A3236" s="102">
        <v>43468</v>
      </c>
      <c r="B3236" s="106">
        <v>115</v>
      </c>
      <c r="C3236" s="106">
        <v>663294</v>
      </c>
    </row>
    <row r="3237" spans="1:3">
      <c r="A3237" s="102">
        <v>43469</v>
      </c>
      <c r="B3237" s="106">
        <v>55</v>
      </c>
      <c r="C3237" s="106">
        <v>666430</v>
      </c>
    </row>
    <row r="3238" spans="1:3">
      <c r="A3238" s="102">
        <v>43470</v>
      </c>
      <c r="B3238" s="106">
        <v>55</v>
      </c>
      <c r="C3238" s="106">
        <v>666430</v>
      </c>
    </row>
    <row r="3239" spans="1:3">
      <c r="A3239" s="102">
        <v>43471</v>
      </c>
      <c r="B3239" s="106">
        <v>55</v>
      </c>
      <c r="C3239" s="106">
        <v>666430</v>
      </c>
    </row>
    <row r="3240" spans="1:3">
      <c r="A3240" s="102">
        <v>43472</v>
      </c>
      <c r="B3240" s="106">
        <v>96</v>
      </c>
      <c r="C3240" s="106">
        <v>642703</v>
      </c>
    </row>
    <row r="3241" spans="1:3">
      <c r="A3241" s="102">
        <v>43473</v>
      </c>
      <c r="B3241" s="106">
        <v>85</v>
      </c>
      <c r="C3241" s="106">
        <v>667213</v>
      </c>
    </row>
    <row r="3242" spans="1:3">
      <c r="A3242" s="102">
        <v>43474</v>
      </c>
      <c r="B3242" s="106">
        <v>25</v>
      </c>
      <c r="C3242" s="106">
        <v>658508</v>
      </c>
    </row>
    <row r="3243" spans="1:3">
      <c r="A3243" s="102">
        <v>43475</v>
      </c>
      <c r="B3243" s="106">
        <v>43</v>
      </c>
      <c r="C3243" s="106">
        <v>670889</v>
      </c>
    </row>
    <row r="3244" spans="1:3">
      <c r="A3244" s="102">
        <v>43476</v>
      </c>
      <c r="B3244" s="106">
        <v>36</v>
      </c>
      <c r="C3244" s="106">
        <v>669525</v>
      </c>
    </row>
    <row r="3245" spans="1:3">
      <c r="A3245" s="102">
        <v>43477</v>
      </c>
      <c r="B3245" s="106">
        <v>36</v>
      </c>
      <c r="C3245" s="106">
        <v>669525</v>
      </c>
    </row>
    <row r="3246" spans="1:3">
      <c r="A3246" s="102">
        <v>43478</v>
      </c>
      <c r="B3246" s="106">
        <v>36</v>
      </c>
      <c r="C3246" s="106">
        <v>669525</v>
      </c>
    </row>
    <row r="3247" spans="1:3">
      <c r="A3247" s="102">
        <v>43479</v>
      </c>
      <c r="B3247" s="106">
        <v>42</v>
      </c>
      <c r="C3247" s="106">
        <v>671396</v>
      </c>
    </row>
    <row r="3248" spans="1:3">
      <c r="A3248" s="102">
        <v>43480</v>
      </c>
      <c r="B3248" s="106">
        <v>43</v>
      </c>
      <c r="C3248" s="106">
        <v>664788</v>
      </c>
    </row>
    <row r="3249" spans="1:3">
      <c r="A3249" s="102">
        <v>43481</v>
      </c>
      <c r="B3249" s="106">
        <v>42</v>
      </c>
      <c r="C3249" s="106">
        <v>643605</v>
      </c>
    </row>
    <row r="3250" spans="1:3">
      <c r="A3250" s="102">
        <v>43482</v>
      </c>
      <c r="B3250" s="106">
        <v>96</v>
      </c>
      <c r="C3250" s="106">
        <v>640559</v>
      </c>
    </row>
    <row r="3251" spans="1:3">
      <c r="A3251" s="102">
        <v>43483</v>
      </c>
      <c r="B3251" s="106">
        <v>63</v>
      </c>
      <c r="C3251" s="106">
        <v>637776</v>
      </c>
    </row>
    <row r="3252" spans="1:3">
      <c r="A3252" s="102">
        <v>43484</v>
      </c>
      <c r="B3252" s="106">
        <v>63</v>
      </c>
      <c r="C3252" s="106">
        <v>637776</v>
      </c>
    </row>
    <row r="3253" spans="1:3">
      <c r="A3253" s="102">
        <v>43485</v>
      </c>
      <c r="B3253" s="106">
        <v>63</v>
      </c>
      <c r="C3253" s="106">
        <v>637776</v>
      </c>
    </row>
    <row r="3254" spans="1:3">
      <c r="A3254" s="102">
        <v>43486</v>
      </c>
      <c r="B3254" s="106">
        <v>69</v>
      </c>
      <c r="C3254" s="106">
        <v>641856</v>
      </c>
    </row>
    <row r="3255" spans="1:3">
      <c r="A3255" s="102">
        <v>43487</v>
      </c>
      <c r="B3255" s="106">
        <v>47</v>
      </c>
      <c r="C3255" s="106">
        <v>640521</v>
      </c>
    </row>
    <row r="3256" spans="1:3">
      <c r="A3256" s="102">
        <v>43488</v>
      </c>
      <c r="B3256" s="106">
        <v>25</v>
      </c>
      <c r="C3256" s="106">
        <v>652799</v>
      </c>
    </row>
    <row r="3257" spans="1:3">
      <c r="A3257" s="102">
        <v>43489</v>
      </c>
      <c r="B3257" s="106">
        <v>25</v>
      </c>
      <c r="C3257" s="106">
        <v>640239</v>
      </c>
    </row>
    <row r="3258" spans="1:3">
      <c r="A3258" s="102">
        <v>43490</v>
      </c>
      <c r="B3258" s="106">
        <v>37</v>
      </c>
      <c r="C3258" s="106">
        <v>640205</v>
      </c>
    </row>
    <row r="3259" spans="1:3">
      <c r="A3259" s="102">
        <v>43491</v>
      </c>
      <c r="B3259" s="106">
        <v>37</v>
      </c>
      <c r="C3259" s="106">
        <v>640205</v>
      </c>
    </row>
    <row r="3260" spans="1:3">
      <c r="A3260" s="102">
        <v>43492</v>
      </c>
      <c r="B3260" s="106">
        <v>37</v>
      </c>
      <c r="C3260" s="106">
        <v>640205</v>
      </c>
    </row>
    <row r="3261" spans="1:3">
      <c r="A3261" s="102">
        <v>43493</v>
      </c>
      <c r="B3261" s="106">
        <v>68</v>
      </c>
      <c r="C3261" s="106">
        <v>641975</v>
      </c>
    </row>
    <row r="3262" spans="1:3">
      <c r="A3262" s="102">
        <v>43494</v>
      </c>
      <c r="B3262" s="106">
        <v>157</v>
      </c>
      <c r="C3262" s="106">
        <v>648349</v>
      </c>
    </row>
    <row r="3263" spans="1:3">
      <c r="A3263" s="102">
        <v>43495</v>
      </c>
      <c r="B3263" s="106">
        <v>106</v>
      </c>
      <c r="C3263" s="106">
        <v>590631</v>
      </c>
    </row>
    <row r="3264" spans="1:3">
      <c r="A3264" s="102">
        <v>43496</v>
      </c>
      <c r="B3264" s="106">
        <v>112</v>
      </c>
      <c r="C3264" s="106">
        <v>644921</v>
      </c>
    </row>
    <row r="3265" spans="1:3">
      <c r="A3265" s="102">
        <v>43497</v>
      </c>
      <c r="B3265" s="106">
        <v>102</v>
      </c>
      <c r="C3265" s="106">
        <v>673020</v>
      </c>
    </row>
    <row r="3266" spans="1:3">
      <c r="A3266" s="102">
        <v>43498</v>
      </c>
      <c r="B3266" s="106">
        <v>102</v>
      </c>
      <c r="C3266" s="106">
        <v>673020</v>
      </c>
    </row>
    <row r="3267" spans="1:3">
      <c r="A3267" s="102">
        <v>43499</v>
      </c>
      <c r="B3267" s="106">
        <v>102</v>
      </c>
      <c r="C3267" s="106">
        <v>673020</v>
      </c>
    </row>
    <row r="3268" spans="1:3">
      <c r="A3268" s="102">
        <v>43500</v>
      </c>
      <c r="B3268" s="106">
        <v>117</v>
      </c>
      <c r="C3268" s="106">
        <v>671108</v>
      </c>
    </row>
    <row r="3269" spans="1:3">
      <c r="A3269" s="102">
        <v>43501</v>
      </c>
      <c r="B3269" s="106">
        <v>117</v>
      </c>
      <c r="C3269" s="106">
        <v>652698</v>
      </c>
    </row>
    <row r="3270" spans="1:3">
      <c r="A3270" s="102">
        <v>43502</v>
      </c>
      <c r="B3270" s="106">
        <v>26</v>
      </c>
      <c r="C3270" s="106">
        <v>655427</v>
      </c>
    </row>
    <row r="3271" spans="1:3">
      <c r="A3271" s="102">
        <v>43503</v>
      </c>
      <c r="B3271" s="106">
        <v>28</v>
      </c>
      <c r="C3271" s="106">
        <v>657394</v>
      </c>
    </row>
    <row r="3272" spans="1:3">
      <c r="A3272" s="102">
        <v>43504</v>
      </c>
      <c r="B3272" s="106">
        <v>50</v>
      </c>
      <c r="C3272" s="106">
        <v>658593</v>
      </c>
    </row>
    <row r="3273" spans="1:3">
      <c r="A3273" s="102">
        <v>43505</v>
      </c>
      <c r="B3273" s="106">
        <v>50</v>
      </c>
      <c r="C3273" s="106">
        <v>658593</v>
      </c>
    </row>
    <row r="3274" spans="1:3">
      <c r="A3274" s="102">
        <v>43506</v>
      </c>
      <c r="B3274" s="106">
        <v>50</v>
      </c>
      <c r="C3274" s="106">
        <v>658593</v>
      </c>
    </row>
    <row r="3275" spans="1:3">
      <c r="A3275" s="102">
        <v>43507</v>
      </c>
      <c r="B3275" s="106">
        <v>46</v>
      </c>
      <c r="C3275" s="106">
        <v>662583</v>
      </c>
    </row>
    <row r="3276" spans="1:3">
      <c r="A3276" s="102">
        <v>43508</v>
      </c>
      <c r="B3276" s="106">
        <v>61</v>
      </c>
      <c r="C3276" s="106">
        <v>660772</v>
      </c>
    </row>
    <row r="3277" spans="1:3">
      <c r="A3277" s="102">
        <v>43509</v>
      </c>
      <c r="B3277" s="106">
        <v>20</v>
      </c>
      <c r="C3277" s="106">
        <v>646723</v>
      </c>
    </row>
    <row r="3278" spans="1:3">
      <c r="A3278" s="102">
        <v>43510</v>
      </c>
      <c r="B3278" s="106">
        <v>25</v>
      </c>
      <c r="C3278" s="106">
        <v>629464</v>
      </c>
    </row>
    <row r="3279" spans="1:3">
      <c r="A3279" s="102">
        <v>43511</v>
      </c>
      <c r="B3279" s="106">
        <v>66</v>
      </c>
      <c r="C3279" s="106">
        <v>634930</v>
      </c>
    </row>
    <row r="3280" spans="1:3">
      <c r="A3280" s="102">
        <v>43512</v>
      </c>
      <c r="B3280" s="106">
        <v>66</v>
      </c>
      <c r="C3280" s="106">
        <v>634930</v>
      </c>
    </row>
    <row r="3281" spans="1:3">
      <c r="A3281" s="102">
        <v>43513</v>
      </c>
      <c r="B3281" s="106">
        <v>66</v>
      </c>
      <c r="C3281" s="106">
        <v>634930</v>
      </c>
    </row>
    <row r="3282" spans="1:3">
      <c r="A3282" s="102">
        <v>43514</v>
      </c>
      <c r="B3282" s="106">
        <v>64</v>
      </c>
      <c r="C3282" s="106">
        <v>629698</v>
      </c>
    </row>
    <row r="3283" spans="1:3">
      <c r="A3283" s="102">
        <v>43515</v>
      </c>
      <c r="B3283" s="106">
        <v>102</v>
      </c>
      <c r="C3283" s="106">
        <v>631183</v>
      </c>
    </row>
    <row r="3284" spans="1:3">
      <c r="A3284" s="102">
        <v>43516</v>
      </c>
      <c r="B3284" s="106">
        <v>179</v>
      </c>
      <c r="C3284" s="106">
        <v>594939</v>
      </c>
    </row>
    <row r="3285" spans="1:3">
      <c r="A3285" s="102">
        <v>43517</v>
      </c>
      <c r="B3285" s="106">
        <v>118</v>
      </c>
      <c r="C3285" s="106">
        <v>626398</v>
      </c>
    </row>
    <row r="3286" spans="1:3">
      <c r="A3286" s="102">
        <v>43518</v>
      </c>
      <c r="B3286" s="106">
        <v>105</v>
      </c>
      <c r="C3286" s="106">
        <v>634081</v>
      </c>
    </row>
    <row r="3287" spans="1:3">
      <c r="A3287" s="102">
        <v>43519</v>
      </c>
      <c r="B3287" s="106">
        <v>105</v>
      </c>
      <c r="C3287" s="106">
        <v>634081</v>
      </c>
    </row>
    <row r="3288" spans="1:3">
      <c r="A3288" s="102">
        <v>43520</v>
      </c>
      <c r="B3288" s="106">
        <v>105</v>
      </c>
      <c r="C3288" s="106">
        <v>634081</v>
      </c>
    </row>
    <row r="3289" spans="1:3">
      <c r="A3289" s="102">
        <v>43521</v>
      </c>
      <c r="B3289" s="106">
        <v>72</v>
      </c>
      <c r="C3289" s="106">
        <v>585258</v>
      </c>
    </row>
    <row r="3290" spans="1:3">
      <c r="A3290" s="102">
        <v>43522</v>
      </c>
      <c r="B3290" s="106">
        <v>61</v>
      </c>
      <c r="C3290" s="106">
        <v>625666</v>
      </c>
    </row>
    <row r="3291" spans="1:3">
      <c r="A3291" s="102">
        <v>43523</v>
      </c>
      <c r="B3291" s="106">
        <v>13</v>
      </c>
      <c r="C3291" s="106">
        <v>523407</v>
      </c>
    </row>
    <row r="3292" spans="1:3">
      <c r="A3292" s="102">
        <v>43524</v>
      </c>
      <c r="B3292" s="106">
        <v>0</v>
      </c>
      <c r="C3292" s="106">
        <v>644664</v>
      </c>
    </row>
    <row r="3293" spans="1:3">
      <c r="A3293" s="102">
        <v>43525</v>
      </c>
      <c r="B3293" s="106">
        <v>0</v>
      </c>
      <c r="C3293" s="106">
        <v>640968</v>
      </c>
    </row>
    <row r="3294" spans="1:3">
      <c r="A3294" s="102">
        <v>43526</v>
      </c>
      <c r="B3294" s="106">
        <v>0</v>
      </c>
      <c r="C3294" s="106">
        <v>640968</v>
      </c>
    </row>
    <row r="3295" spans="1:3">
      <c r="A3295" s="102">
        <v>43527</v>
      </c>
      <c r="B3295" s="106">
        <v>0</v>
      </c>
      <c r="C3295" s="106">
        <v>640968</v>
      </c>
    </row>
    <row r="3296" spans="1:3">
      <c r="A3296" s="102">
        <v>43528</v>
      </c>
      <c r="B3296" s="106">
        <v>0</v>
      </c>
      <c r="C3296" s="106">
        <v>649735</v>
      </c>
    </row>
    <row r="3297" spans="1:3">
      <c r="A3297" s="102">
        <v>43529</v>
      </c>
      <c r="B3297" s="106">
        <v>0</v>
      </c>
      <c r="C3297" s="106">
        <v>648138</v>
      </c>
    </row>
    <row r="3298" spans="1:3">
      <c r="A3298" s="102">
        <v>43530</v>
      </c>
      <c r="B3298" s="106">
        <v>0</v>
      </c>
      <c r="C3298" s="106">
        <v>635177</v>
      </c>
    </row>
    <row r="3299" spans="1:3">
      <c r="A3299" s="102">
        <v>43531</v>
      </c>
      <c r="B3299" s="106">
        <v>0</v>
      </c>
      <c r="C3299" s="106">
        <v>621459</v>
      </c>
    </row>
    <row r="3300" spans="1:3">
      <c r="A3300" s="102">
        <v>43532</v>
      </c>
      <c r="B3300" s="106">
        <v>100</v>
      </c>
      <c r="C3300" s="106">
        <v>631807</v>
      </c>
    </row>
    <row r="3301" spans="1:3">
      <c r="A3301" s="102">
        <v>43533</v>
      </c>
      <c r="B3301" s="106">
        <v>100</v>
      </c>
      <c r="C3301" s="106">
        <v>631807</v>
      </c>
    </row>
    <row r="3302" spans="1:3">
      <c r="A3302" s="102">
        <v>43534</v>
      </c>
      <c r="B3302" s="106">
        <v>100</v>
      </c>
      <c r="C3302" s="106">
        <v>631807</v>
      </c>
    </row>
    <row r="3303" spans="1:3">
      <c r="A3303" s="102">
        <v>43535</v>
      </c>
      <c r="B3303" s="106">
        <v>0</v>
      </c>
      <c r="C3303" s="106">
        <v>624350</v>
      </c>
    </row>
    <row r="3304" spans="1:3">
      <c r="A3304" s="102">
        <v>43536</v>
      </c>
      <c r="B3304" s="106">
        <v>0</v>
      </c>
      <c r="C3304" s="106">
        <v>648651</v>
      </c>
    </row>
    <row r="3305" spans="1:3">
      <c r="A3305" s="102">
        <v>43537</v>
      </c>
      <c r="B3305" s="106">
        <v>1</v>
      </c>
      <c r="C3305" s="106">
        <v>603779</v>
      </c>
    </row>
    <row r="3306" spans="1:3">
      <c r="A3306" s="102">
        <v>43538</v>
      </c>
      <c r="B3306" s="106">
        <v>3</v>
      </c>
      <c r="C3306" s="106">
        <v>610791</v>
      </c>
    </row>
    <row r="3307" spans="1:3">
      <c r="A3307" s="102">
        <v>43539</v>
      </c>
      <c r="B3307" s="106">
        <v>1</v>
      </c>
      <c r="C3307" s="106">
        <v>591502</v>
      </c>
    </row>
    <row r="3308" spans="1:3">
      <c r="A3308" s="102">
        <v>43540</v>
      </c>
      <c r="B3308" s="106">
        <v>1</v>
      </c>
      <c r="C3308" s="106">
        <v>591502</v>
      </c>
    </row>
    <row r="3309" spans="1:3">
      <c r="A3309" s="102">
        <v>43541</v>
      </c>
      <c r="B3309" s="106">
        <v>1</v>
      </c>
      <c r="C3309" s="106">
        <v>591502</v>
      </c>
    </row>
    <row r="3310" spans="1:3">
      <c r="A3310" s="102">
        <v>43542</v>
      </c>
      <c r="B3310" s="106">
        <v>5</v>
      </c>
      <c r="C3310" s="106">
        <v>614491</v>
      </c>
    </row>
    <row r="3311" spans="1:3">
      <c r="A3311" s="102">
        <v>43543</v>
      </c>
      <c r="B3311" s="106">
        <v>12</v>
      </c>
      <c r="C3311" s="106">
        <v>617722</v>
      </c>
    </row>
    <row r="3312" spans="1:3">
      <c r="A3312" s="102">
        <v>43544</v>
      </c>
      <c r="B3312" s="106">
        <v>0</v>
      </c>
      <c r="C3312" s="106">
        <v>616553</v>
      </c>
    </row>
    <row r="3313" spans="1:3">
      <c r="A3313" s="102">
        <v>43545</v>
      </c>
      <c r="B3313" s="106">
        <v>0</v>
      </c>
      <c r="C3313" s="106">
        <v>606966</v>
      </c>
    </row>
    <row r="3314" spans="1:3">
      <c r="A3314" s="102">
        <v>43546</v>
      </c>
      <c r="B3314" s="106">
        <v>0</v>
      </c>
      <c r="C3314" s="106">
        <v>620177</v>
      </c>
    </row>
    <row r="3315" spans="1:3">
      <c r="A3315" s="102">
        <v>43547</v>
      </c>
      <c r="B3315" s="106">
        <v>0</v>
      </c>
      <c r="C3315" s="106">
        <v>620177</v>
      </c>
    </row>
    <row r="3316" spans="1:3">
      <c r="A3316" s="102">
        <v>43548</v>
      </c>
      <c r="B3316" s="106">
        <v>0</v>
      </c>
      <c r="C3316" s="106">
        <v>620177</v>
      </c>
    </row>
    <row r="3317" spans="1:3">
      <c r="A3317" s="102">
        <v>43549</v>
      </c>
      <c r="B3317" s="106">
        <v>0</v>
      </c>
      <c r="C3317" s="106">
        <v>611963</v>
      </c>
    </row>
    <row r="3318" spans="1:3">
      <c r="A3318" s="102">
        <v>43550</v>
      </c>
      <c r="B3318" s="106">
        <v>0</v>
      </c>
      <c r="C3318" s="106">
        <v>616261</v>
      </c>
    </row>
    <row r="3319" spans="1:3">
      <c r="A3319" s="102">
        <v>43551</v>
      </c>
      <c r="B3319" s="106">
        <v>18</v>
      </c>
      <c r="C3319" s="106">
        <v>607331</v>
      </c>
    </row>
    <row r="3320" spans="1:3">
      <c r="A3320" s="102">
        <v>43552</v>
      </c>
      <c r="B3320" s="106">
        <v>0</v>
      </c>
      <c r="C3320" s="106">
        <v>607204</v>
      </c>
    </row>
    <row r="3321" spans="1:3">
      <c r="A3321" s="102">
        <v>43553</v>
      </c>
      <c r="B3321" s="106">
        <v>535</v>
      </c>
      <c r="C3321" s="106">
        <v>599241</v>
      </c>
    </row>
    <row r="3322" spans="1:3">
      <c r="A3322" s="102">
        <v>43554</v>
      </c>
      <c r="B3322" s="106">
        <v>535</v>
      </c>
      <c r="C3322" s="106">
        <v>599241</v>
      </c>
    </row>
    <row r="3323" spans="1:3">
      <c r="A3323" s="102">
        <v>43555</v>
      </c>
      <c r="B3323" s="106">
        <v>535</v>
      </c>
      <c r="C3323" s="106">
        <v>599241</v>
      </c>
    </row>
    <row r="3324" spans="1:3">
      <c r="A3324" s="102">
        <v>43556</v>
      </c>
      <c r="B3324" s="106">
        <v>0</v>
      </c>
      <c r="C3324" s="106">
        <v>631114</v>
      </c>
    </row>
    <row r="3325" spans="1:3">
      <c r="A3325" s="102">
        <v>43557</v>
      </c>
      <c r="B3325" s="106">
        <v>0</v>
      </c>
      <c r="C3325" s="106">
        <v>638346</v>
      </c>
    </row>
    <row r="3326" spans="1:3">
      <c r="A3326" s="102">
        <v>43558</v>
      </c>
      <c r="B3326" s="106">
        <v>0</v>
      </c>
      <c r="C3326" s="106">
        <v>627719</v>
      </c>
    </row>
    <row r="3327" spans="1:3">
      <c r="A3327" s="102">
        <v>43559</v>
      </c>
      <c r="B3327" s="106">
        <v>1</v>
      </c>
      <c r="C3327" s="106">
        <v>640214</v>
      </c>
    </row>
    <row r="3328" spans="1:3">
      <c r="A3328" s="102">
        <v>43560</v>
      </c>
      <c r="B3328" s="106">
        <v>0</v>
      </c>
      <c r="C3328" s="106">
        <v>634197</v>
      </c>
    </row>
    <row r="3329" spans="1:3">
      <c r="A3329" s="102">
        <v>43561</v>
      </c>
      <c r="B3329" s="106">
        <v>0</v>
      </c>
      <c r="C3329" s="106">
        <v>634197</v>
      </c>
    </row>
    <row r="3330" spans="1:3">
      <c r="A3330" s="102">
        <v>43562</v>
      </c>
      <c r="B3330" s="106">
        <v>0</v>
      </c>
      <c r="C3330" s="106">
        <v>634197</v>
      </c>
    </row>
    <row r="3331" spans="1:3">
      <c r="A3331" s="102">
        <v>43563</v>
      </c>
      <c r="B3331" s="106">
        <v>0</v>
      </c>
      <c r="C3331" s="106">
        <v>646659</v>
      </c>
    </row>
    <row r="3332" spans="1:3">
      <c r="A3332" s="102">
        <v>43564</v>
      </c>
      <c r="B3332" s="106">
        <v>0</v>
      </c>
      <c r="C3332" s="106">
        <v>643476</v>
      </c>
    </row>
    <row r="3333" spans="1:3">
      <c r="A3333" s="102">
        <v>43565</v>
      </c>
      <c r="B3333" s="106">
        <v>141</v>
      </c>
      <c r="C3333" s="106">
        <v>633197</v>
      </c>
    </row>
    <row r="3334" spans="1:3">
      <c r="A3334" s="102">
        <v>43566</v>
      </c>
      <c r="B3334" s="106">
        <v>2</v>
      </c>
      <c r="C3334" s="106">
        <v>636357</v>
      </c>
    </row>
    <row r="3335" spans="1:3">
      <c r="A3335" s="102">
        <v>43567</v>
      </c>
      <c r="B3335" s="106">
        <v>53</v>
      </c>
      <c r="C3335" s="106">
        <v>631526</v>
      </c>
    </row>
    <row r="3336" spans="1:3">
      <c r="A3336" s="102">
        <v>43568</v>
      </c>
      <c r="B3336" s="106">
        <v>53</v>
      </c>
      <c r="C3336" s="106">
        <v>631526</v>
      </c>
    </row>
    <row r="3337" spans="1:3">
      <c r="A3337" s="102">
        <v>43569</v>
      </c>
      <c r="B3337" s="106">
        <v>53</v>
      </c>
      <c r="C3337" s="106">
        <v>631526</v>
      </c>
    </row>
    <row r="3338" spans="1:3">
      <c r="A3338" s="102">
        <v>43570</v>
      </c>
      <c r="B3338" s="106">
        <v>27</v>
      </c>
      <c r="C3338" s="106">
        <v>633276</v>
      </c>
    </row>
    <row r="3339" spans="1:3">
      <c r="A3339" s="102">
        <v>43571</v>
      </c>
      <c r="B3339" s="106">
        <v>23</v>
      </c>
      <c r="C3339" s="106">
        <v>612779</v>
      </c>
    </row>
    <row r="3340" spans="1:3">
      <c r="A3340" s="102">
        <v>43572</v>
      </c>
      <c r="B3340" s="106">
        <v>7</v>
      </c>
      <c r="C3340" s="106">
        <v>537929</v>
      </c>
    </row>
    <row r="3341" spans="1:3">
      <c r="A3341" s="102">
        <v>43573</v>
      </c>
      <c r="B3341" s="106">
        <v>3705</v>
      </c>
      <c r="C3341" s="106">
        <v>586429</v>
      </c>
    </row>
    <row r="3342" spans="1:3">
      <c r="A3342" s="102">
        <v>43574</v>
      </c>
      <c r="B3342" s="106">
        <v>3705</v>
      </c>
      <c r="C3342" s="106">
        <v>586429</v>
      </c>
    </row>
    <row r="3343" spans="1:3">
      <c r="A3343" s="102">
        <v>43575</v>
      </c>
      <c r="B3343" s="106">
        <v>3705</v>
      </c>
      <c r="C3343" s="106">
        <v>586429</v>
      </c>
    </row>
    <row r="3344" spans="1:3">
      <c r="A3344" s="102">
        <v>43576</v>
      </c>
      <c r="B3344" s="106">
        <v>3705</v>
      </c>
      <c r="C3344" s="106">
        <v>586429</v>
      </c>
    </row>
    <row r="3345" spans="1:3">
      <c r="A3345" s="102">
        <v>43577</v>
      </c>
      <c r="B3345" s="106">
        <v>3705</v>
      </c>
      <c r="C3345" s="106">
        <v>586429</v>
      </c>
    </row>
    <row r="3346" spans="1:3">
      <c r="A3346" s="102">
        <v>43578</v>
      </c>
      <c r="B3346" s="106">
        <v>0</v>
      </c>
      <c r="C3346" s="106">
        <v>571839</v>
      </c>
    </row>
    <row r="3347" spans="1:3">
      <c r="A3347" s="102">
        <v>43579</v>
      </c>
      <c r="B3347" s="106">
        <v>4</v>
      </c>
      <c r="C3347" s="106">
        <v>590825</v>
      </c>
    </row>
    <row r="3348" spans="1:3">
      <c r="A3348" s="102">
        <v>43580</v>
      </c>
      <c r="B3348" s="106">
        <v>0</v>
      </c>
      <c r="C3348" s="106">
        <v>619764</v>
      </c>
    </row>
    <row r="3349" spans="1:3">
      <c r="A3349" s="102">
        <v>43581</v>
      </c>
      <c r="B3349" s="106">
        <v>142</v>
      </c>
      <c r="C3349" s="106">
        <v>610643</v>
      </c>
    </row>
    <row r="3350" spans="1:3">
      <c r="A3350" s="102">
        <v>43582</v>
      </c>
      <c r="B3350" s="106">
        <v>142</v>
      </c>
      <c r="C3350" s="106">
        <v>610643</v>
      </c>
    </row>
    <row r="3351" spans="1:3">
      <c r="A3351" s="102">
        <v>43583</v>
      </c>
      <c r="B3351" s="106">
        <v>142</v>
      </c>
      <c r="C3351" s="106">
        <v>610643</v>
      </c>
    </row>
    <row r="3352" spans="1:3">
      <c r="A3352" s="102">
        <v>43584</v>
      </c>
      <c r="B3352" s="106">
        <v>12</v>
      </c>
      <c r="C3352" s="106">
        <v>605395</v>
      </c>
    </row>
    <row r="3353" spans="1:3">
      <c r="A3353" s="102">
        <v>43585</v>
      </c>
      <c r="B3353" s="106">
        <v>22</v>
      </c>
      <c r="C3353" s="106">
        <v>629068</v>
      </c>
    </row>
    <row r="3354" spans="1:3">
      <c r="A3354" s="102">
        <v>43586</v>
      </c>
      <c r="B3354" s="106">
        <v>22</v>
      </c>
      <c r="C3354" s="106">
        <v>629068</v>
      </c>
    </row>
    <row r="3355" spans="1:3">
      <c r="A3355" s="102">
        <v>43587</v>
      </c>
      <c r="B3355" s="106">
        <v>0</v>
      </c>
      <c r="C3355" s="106">
        <v>632673</v>
      </c>
    </row>
    <row r="3356" spans="1:3">
      <c r="A3356" s="102">
        <v>43588</v>
      </c>
      <c r="B3356" s="106">
        <v>0</v>
      </c>
      <c r="C3356" s="106">
        <v>633678</v>
      </c>
    </row>
    <row r="3357" spans="1:3">
      <c r="A3357" s="102">
        <v>43589</v>
      </c>
      <c r="B3357" s="106">
        <v>0</v>
      </c>
      <c r="C3357" s="106">
        <v>633678</v>
      </c>
    </row>
    <row r="3358" spans="1:3">
      <c r="A3358" s="102">
        <v>43590</v>
      </c>
      <c r="B3358" s="106">
        <v>0</v>
      </c>
      <c r="C3358" s="106">
        <v>633678</v>
      </c>
    </row>
    <row r="3359" spans="1:3">
      <c r="A3359" s="102">
        <v>43591</v>
      </c>
      <c r="B3359" s="106">
        <v>0</v>
      </c>
      <c r="C3359" s="106">
        <v>618924</v>
      </c>
    </row>
    <row r="3360" spans="1:3">
      <c r="A3360" s="102">
        <v>43592</v>
      </c>
      <c r="B3360" s="106">
        <v>0</v>
      </c>
      <c r="C3360" s="106">
        <v>612101</v>
      </c>
    </row>
    <row r="3361" spans="1:3">
      <c r="A3361" s="102">
        <v>43593</v>
      </c>
      <c r="B3361" s="106">
        <v>0</v>
      </c>
      <c r="C3361" s="106">
        <v>603981</v>
      </c>
    </row>
    <row r="3362" spans="1:3">
      <c r="A3362" s="102">
        <v>43594</v>
      </c>
      <c r="B3362" s="106">
        <v>0</v>
      </c>
      <c r="C3362" s="106">
        <v>603351</v>
      </c>
    </row>
    <row r="3363" spans="1:3">
      <c r="A3363" s="102">
        <v>43595</v>
      </c>
      <c r="B3363" s="106">
        <v>0</v>
      </c>
      <c r="C3363" s="106">
        <v>605289</v>
      </c>
    </row>
    <row r="3364" spans="1:3">
      <c r="A3364" s="102">
        <v>43596</v>
      </c>
      <c r="B3364" s="106">
        <v>0</v>
      </c>
      <c r="C3364" s="106">
        <v>605289</v>
      </c>
    </row>
    <row r="3365" spans="1:3">
      <c r="A3365" s="102">
        <v>43597</v>
      </c>
      <c r="B3365" s="106">
        <v>0</v>
      </c>
      <c r="C3365" s="106">
        <v>605289</v>
      </c>
    </row>
    <row r="3366" spans="1:3">
      <c r="A3366" s="102">
        <v>43598</v>
      </c>
      <c r="B3366" s="106">
        <v>1</v>
      </c>
      <c r="C3366" s="106">
        <v>614924</v>
      </c>
    </row>
    <row r="3367" spans="1:3">
      <c r="A3367" s="102">
        <v>43599</v>
      </c>
      <c r="B3367" s="106">
        <v>124</v>
      </c>
      <c r="C3367" s="106">
        <v>612177</v>
      </c>
    </row>
    <row r="3368" spans="1:3">
      <c r="A3368" s="102">
        <v>43600</v>
      </c>
      <c r="B3368" s="106">
        <v>3</v>
      </c>
      <c r="C3368" s="106">
        <v>604805</v>
      </c>
    </row>
    <row r="3369" spans="1:3">
      <c r="A3369" s="102">
        <v>43601</v>
      </c>
      <c r="B3369" s="106">
        <v>6</v>
      </c>
      <c r="C3369" s="106">
        <v>596066</v>
      </c>
    </row>
    <row r="3370" spans="1:3">
      <c r="A3370" s="102">
        <v>43602</v>
      </c>
      <c r="B3370" s="106">
        <v>0</v>
      </c>
      <c r="C3370" s="106">
        <v>593064</v>
      </c>
    </row>
    <row r="3371" spans="1:3">
      <c r="A3371" s="102">
        <v>43603</v>
      </c>
      <c r="B3371" s="106">
        <v>0</v>
      </c>
      <c r="C3371" s="106">
        <v>593064</v>
      </c>
    </row>
    <row r="3372" spans="1:3">
      <c r="A3372" s="102">
        <v>43604</v>
      </c>
      <c r="B3372" s="106">
        <v>0</v>
      </c>
      <c r="C3372" s="106">
        <v>593064</v>
      </c>
    </row>
    <row r="3373" spans="1:3">
      <c r="A3373" s="102">
        <v>43605</v>
      </c>
      <c r="B3373" s="106">
        <v>0</v>
      </c>
      <c r="C3373" s="106">
        <v>597074</v>
      </c>
    </row>
    <row r="3374" spans="1:3">
      <c r="A3374" s="102">
        <v>43606</v>
      </c>
      <c r="B3374" s="106">
        <v>0</v>
      </c>
      <c r="C3374" s="106">
        <v>584245</v>
      </c>
    </row>
    <row r="3375" spans="1:3">
      <c r="A3375" s="102">
        <v>43607</v>
      </c>
      <c r="B3375" s="106">
        <v>4</v>
      </c>
      <c r="C3375" s="106">
        <v>576855</v>
      </c>
    </row>
    <row r="3376" spans="1:3">
      <c r="A3376" s="102">
        <v>43608</v>
      </c>
      <c r="B3376" s="106">
        <v>9</v>
      </c>
      <c r="C3376" s="106">
        <v>581371</v>
      </c>
    </row>
    <row r="3377" spans="1:3">
      <c r="A3377" s="102">
        <v>43609</v>
      </c>
      <c r="B3377" s="106">
        <v>20</v>
      </c>
      <c r="C3377" s="106">
        <v>571308</v>
      </c>
    </row>
    <row r="3378" spans="1:3">
      <c r="A3378" s="102">
        <v>43610</v>
      </c>
      <c r="B3378" s="106">
        <v>20</v>
      </c>
      <c r="C3378" s="106">
        <v>571308</v>
      </c>
    </row>
    <row r="3379" spans="1:3">
      <c r="A3379" s="102">
        <v>43611</v>
      </c>
      <c r="B3379" s="106">
        <v>20</v>
      </c>
      <c r="C3379" s="106">
        <v>571308</v>
      </c>
    </row>
    <row r="3380" spans="1:3">
      <c r="A3380" s="102">
        <v>43612</v>
      </c>
      <c r="B3380" s="106">
        <v>16</v>
      </c>
      <c r="C3380" s="106">
        <v>585811</v>
      </c>
    </row>
    <row r="3381" spans="1:3">
      <c r="A3381" s="102">
        <v>43613</v>
      </c>
      <c r="B3381" s="106">
        <v>11</v>
      </c>
      <c r="C3381" s="106">
        <v>588632</v>
      </c>
    </row>
    <row r="3382" spans="1:3">
      <c r="A3382" s="102">
        <v>43614</v>
      </c>
      <c r="B3382" s="106">
        <v>0</v>
      </c>
      <c r="C3382" s="106">
        <v>595099</v>
      </c>
    </row>
    <row r="3383" spans="1:3">
      <c r="A3383" s="102">
        <v>43615</v>
      </c>
      <c r="B3383" s="106">
        <v>1</v>
      </c>
      <c r="C3383" s="106">
        <v>586862</v>
      </c>
    </row>
    <row r="3384" spans="1:3">
      <c r="A3384" s="102">
        <v>43616</v>
      </c>
      <c r="B3384" s="106">
        <v>120</v>
      </c>
      <c r="C3384" s="106">
        <v>625984</v>
      </c>
    </row>
    <row r="3385" spans="1:3">
      <c r="A3385" s="102">
        <v>43617</v>
      </c>
      <c r="B3385" s="106">
        <v>120</v>
      </c>
      <c r="C3385" s="106">
        <v>625984</v>
      </c>
    </row>
    <row r="3386" spans="1:3">
      <c r="A3386" s="102">
        <v>43618</v>
      </c>
      <c r="B3386" s="106">
        <v>120</v>
      </c>
      <c r="C3386" s="106">
        <v>625984</v>
      </c>
    </row>
    <row r="3387" spans="1:3">
      <c r="A3387" s="102">
        <v>43619</v>
      </c>
      <c r="B3387" s="106">
        <v>0</v>
      </c>
      <c r="C3387" s="106">
        <v>626761</v>
      </c>
    </row>
    <row r="3388" spans="1:3">
      <c r="A3388" s="102">
        <v>43620</v>
      </c>
      <c r="B3388" s="106">
        <v>0</v>
      </c>
      <c r="C3388" s="106">
        <v>622381</v>
      </c>
    </row>
    <row r="3389" spans="1:3">
      <c r="A3389" s="102">
        <v>43621</v>
      </c>
      <c r="B3389" s="106">
        <v>80</v>
      </c>
      <c r="C3389" s="106">
        <v>599466</v>
      </c>
    </row>
    <row r="3390" spans="1:3">
      <c r="A3390" s="102">
        <v>43622</v>
      </c>
      <c r="B3390" s="106">
        <v>61</v>
      </c>
      <c r="C3390" s="106">
        <v>602741</v>
      </c>
    </row>
    <row r="3391" spans="1:3">
      <c r="A3391" s="102">
        <v>43623</v>
      </c>
      <c r="B3391" s="106">
        <v>0</v>
      </c>
      <c r="C3391" s="106">
        <v>602365</v>
      </c>
    </row>
    <row r="3392" spans="1:3">
      <c r="A3392" s="102">
        <v>43624</v>
      </c>
      <c r="B3392" s="106">
        <v>0</v>
      </c>
      <c r="C3392" s="106">
        <v>602365</v>
      </c>
    </row>
    <row r="3393" spans="1:3">
      <c r="A3393" s="102">
        <v>43625</v>
      </c>
      <c r="B3393" s="106">
        <v>0</v>
      </c>
      <c r="C3393" s="106">
        <v>602365</v>
      </c>
    </row>
    <row r="3394" spans="1:3">
      <c r="A3394" s="102">
        <v>43626</v>
      </c>
      <c r="B3394" s="106">
        <v>4</v>
      </c>
      <c r="C3394" s="106">
        <v>607055</v>
      </c>
    </row>
    <row r="3395" spans="1:3">
      <c r="A3395" s="102">
        <v>43627</v>
      </c>
      <c r="B3395" s="106">
        <v>205</v>
      </c>
      <c r="C3395" s="106">
        <v>612662</v>
      </c>
    </row>
    <row r="3396" spans="1:3">
      <c r="A3396" s="102">
        <v>43628</v>
      </c>
      <c r="B3396" s="106">
        <v>0</v>
      </c>
      <c r="C3396" s="106">
        <v>577965</v>
      </c>
    </row>
    <row r="3397" spans="1:3">
      <c r="A3397" s="102">
        <v>43629</v>
      </c>
      <c r="B3397" s="106">
        <v>0</v>
      </c>
      <c r="C3397" s="106">
        <v>603201</v>
      </c>
    </row>
    <row r="3398" spans="1:3">
      <c r="A3398" s="102">
        <v>43630</v>
      </c>
      <c r="B3398" s="106">
        <v>0</v>
      </c>
      <c r="C3398" s="106">
        <v>583832</v>
      </c>
    </row>
    <row r="3399" spans="1:3">
      <c r="A3399" s="102">
        <v>43631</v>
      </c>
      <c r="B3399" s="106">
        <v>0</v>
      </c>
      <c r="C3399" s="106">
        <v>583832</v>
      </c>
    </row>
    <row r="3400" spans="1:3">
      <c r="A3400" s="102">
        <v>43632</v>
      </c>
      <c r="B3400" s="106">
        <v>0</v>
      </c>
      <c r="C3400" s="106">
        <v>583832</v>
      </c>
    </row>
    <row r="3401" spans="1:3">
      <c r="A3401" s="102">
        <v>43633</v>
      </c>
      <c r="B3401" s="106">
        <v>26</v>
      </c>
      <c r="C3401" s="106">
        <v>594864</v>
      </c>
    </row>
    <row r="3402" spans="1:3">
      <c r="A3402" s="102">
        <v>43634</v>
      </c>
      <c r="B3402" s="106">
        <v>0</v>
      </c>
      <c r="C3402" s="106">
        <v>586663</v>
      </c>
    </row>
    <row r="3403" spans="1:3">
      <c r="A3403" s="102">
        <v>43635</v>
      </c>
      <c r="B3403" s="106">
        <v>1</v>
      </c>
      <c r="C3403" s="106">
        <v>568795</v>
      </c>
    </row>
    <row r="3404" spans="1:3">
      <c r="A3404" s="102">
        <v>43636</v>
      </c>
      <c r="B3404" s="106">
        <v>0</v>
      </c>
      <c r="C3404" s="106">
        <v>555422</v>
      </c>
    </row>
    <row r="3405" spans="1:3">
      <c r="A3405" s="102">
        <v>43637</v>
      </c>
      <c r="B3405" s="106">
        <v>6</v>
      </c>
      <c r="C3405" s="106">
        <v>569722</v>
      </c>
    </row>
    <row r="3406" spans="1:3">
      <c r="A3406" s="102">
        <v>43638</v>
      </c>
      <c r="B3406" s="106">
        <v>6</v>
      </c>
      <c r="C3406" s="106">
        <v>569722</v>
      </c>
    </row>
    <row r="3407" spans="1:3">
      <c r="A3407" s="102">
        <v>43639</v>
      </c>
      <c r="B3407" s="106">
        <v>6</v>
      </c>
      <c r="C3407" s="106">
        <v>569722</v>
      </c>
    </row>
    <row r="3408" spans="1:3">
      <c r="A3408" s="102">
        <v>43640</v>
      </c>
      <c r="B3408" s="106">
        <v>4</v>
      </c>
      <c r="C3408" s="106">
        <v>559692</v>
      </c>
    </row>
    <row r="3409" spans="1:3">
      <c r="A3409" s="102">
        <v>43641</v>
      </c>
      <c r="B3409" s="106">
        <v>6</v>
      </c>
      <c r="C3409" s="106">
        <v>559037</v>
      </c>
    </row>
    <row r="3410" spans="1:3">
      <c r="A3410" s="102">
        <v>43642</v>
      </c>
      <c r="B3410" s="106">
        <v>28</v>
      </c>
      <c r="C3410" s="106">
        <v>543919</v>
      </c>
    </row>
    <row r="3411" spans="1:3">
      <c r="A3411" s="102">
        <v>43643</v>
      </c>
      <c r="B3411" s="106">
        <v>25</v>
      </c>
      <c r="C3411" s="106">
        <v>560053</v>
      </c>
    </row>
    <row r="3412" spans="1:3">
      <c r="A3412" s="102">
        <v>43644</v>
      </c>
      <c r="B3412" s="106">
        <v>4</v>
      </c>
      <c r="C3412" s="106">
        <v>579386</v>
      </c>
    </row>
    <row r="3413" spans="1:3">
      <c r="A3413" s="102">
        <v>43645</v>
      </c>
      <c r="B3413" s="106">
        <v>4</v>
      </c>
      <c r="C3413" s="106">
        <v>579386</v>
      </c>
    </row>
    <row r="3414" spans="1:3">
      <c r="A3414" s="102">
        <v>43646</v>
      </c>
      <c r="B3414" s="106">
        <v>4</v>
      </c>
      <c r="C3414" s="106">
        <v>579386</v>
      </c>
    </row>
    <row r="3415" spans="1:3">
      <c r="A3415" s="102">
        <v>43647</v>
      </c>
      <c r="B3415" s="106">
        <v>10</v>
      </c>
      <c r="C3415" s="106">
        <v>592019</v>
      </c>
    </row>
    <row r="3416" spans="1:3">
      <c r="A3416" s="102">
        <v>43648</v>
      </c>
      <c r="B3416" s="106">
        <v>1036</v>
      </c>
      <c r="C3416" s="106">
        <v>594057</v>
      </c>
    </row>
    <row r="3417" spans="1:3">
      <c r="A3417" s="102">
        <v>43649</v>
      </c>
      <c r="B3417" s="106">
        <v>0</v>
      </c>
      <c r="C3417" s="106">
        <v>585205</v>
      </c>
    </row>
    <row r="3418" spans="1:3">
      <c r="A3418" s="102">
        <v>43650</v>
      </c>
      <c r="B3418" s="106">
        <v>0</v>
      </c>
      <c r="C3418" s="106">
        <v>580511</v>
      </c>
    </row>
    <row r="3419" spans="1:3">
      <c r="A3419" s="102">
        <v>43651</v>
      </c>
      <c r="B3419" s="106">
        <v>0</v>
      </c>
      <c r="C3419" s="106">
        <v>584984</v>
      </c>
    </row>
    <row r="3420" spans="1:3">
      <c r="A3420" s="102">
        <v>43652</v>
      </c>
      <c r="B3420" s="106">
        <v>0</v>
      </c>
      <c r="C3420" s="106">
        <v>584984</v>
      </c>
    </row>
    <row r="3421" spans="1:3">
      <c r="A3421" s="102">
        <v>43653</v>
      </c>
      <c r="B3421" s="106">
        <v>0</v>
      </c>
      <c r="C3421" s="106">
        <v>584984</v>
      </c>
    </row>
    <row r="3422" spans="1:3">
      <c r="A3422" s="102">
        <v>43654</v>
      </c>
      <c r="B3422" s="106">
        <v>0</v>
      </c>
      <c r="C3422" s="106">
        <v>590487</v>
      </c>
    </row>
    <row r="3423" spans="1:3">
      <c r="A3423" s="102">
        <v>43655</v>
      </c>
      <c r="B3423" s="106">
        <v>0</v>
      </c>
      <c r="C3423" s="106">
        <v>593587</v>
      </c>
    </row>
    <row r="3424" spans="1:3">
      <c r="A3424" s="102">
        <v>43656</v>
      </c>
      <c r="B3424" s="106">
        <v>0</v>
      </c>
      <c r="C3424" s="106">
        <v>584906</v>
      </c>
    </row>
    <row r="3425" spans="1:3">
      <c r="A3425" s="102">
        <v>43657</v>
      </c>
      <c r="B3425" s="106">
        <v>0</v>
      </c>
      <c r="C3425" s="106">
        <v>588029</v>
      </c>
    </row>
    <row r="3426" spans="1:3">
      <c r="A3426" s="102">
        <v>43658</v>
      </c>
      <c r="B3426" s="106">
        <v>0</v>
      </c>
      <c r="C3426" s="106">
        <v>582036</v>
      </c>
    </row>
    <row r="3427" spans="1:3">
      <c r="A3427" s="102">
        <v>43659</v>
      </c>
      <c r="B3427" s="106">
        <v>0</v>
      </c>
      <c r="C3427" s="106">
        <v>582036</v>
      </c>
    </row>
    <row r="3428" spans="1:3">
      <c r="A3428" s="102">
        <v>43660</v>
      </c>
      <c r="B3428" s="106">
        <v>0</v>
      </c>
      <c r="C3428" s="106">
        <v>582036</v>
      </c>
    </row>
    <row r="3429" spans="1:3">
      <c r="A3429" s="102">
        <v>43661</v>
      </c>
      <c r="B3429" s="106">
        <v>13</v>
      </c>
      <c r="C3429" s="106">
        <v>577173</v>
      </c>
    </row>
    <row r="3430" spans="1:3">
      <c r="A3430" s="102">
        <v>43662</v>
      </c>
      <c r="B3430" s="106">
        <v>3</v>
      </c>
      <c r="C3430" s="106">
        <v>572692</v>
      </c>
    </row>
    <row r="3431" spans="1:3">
      <c r="A3431" s="102">
        <v>43663</v>
      </c>
      <c r="B3431" s="106">
        <v>0</v>
      </c>
      <c r="C3431" s="106">
        <v>572838</v>
      </c>
    </row>
    <row r="3432" spans="1:3">
      <c r="A3432" s="102">
        <v>43664</v>
      </c>
      <c r="B3432" s="106">
        <v>0</v>
      </c>
      <c r="C3432" s="106">
        <v>566299</v>
      </c>
    </row>
    <row r="3433" spans="1:3">
      <c r="A3433" s="102">
        <v>43665</v>
      </c>
      <c r="B3433" s="106">
        <v>0</v>
      </c>
      <c r="C3433" s="106">
        <v>551674</v>
      </c>
    </row>
    <row r="3434" spans="1:3">
      <c r="A3434" s="102">
        <v>43666</v>
      </c>
      <c r="B3434" s="106">
        <v>0</v>
      </c>
      <c r="C3434" s="106">
        <v>551674</v>
      </c>
    </row>
    <row r="3435" spans="1:3">
      <c r="A3435" s="102">
        <v>43667</v>
      </c>
      <c r="B3435" s="106">
        <v>0</v>
      </c>
      <c r="C3435" s="106">
        <v>551674</v>
      </c>
    </row>
    <row r="3436" spans="1:3">
      <c r="A3436" s="102">
        <v>43668</v>
      </c>
      <c r="B3436" s="106">
        <v>0</v>
      </c>
      <c r="C3436" s="106">
        <v>546275</v>
      </c>
    </row>
    <row r="3437" spans="1:3">
      <c r="A3437" s="102">
        <v>43669</v>
      </c>
      <c r="B3437" s="106">
        <v>4</v>
      </c>
      <c r="C3437" s="106">
        <v>541042</v>
      </c>
    </row>
    <row r="3438" spans="1:3">
      <c r="A3438" s="102">
        <v>43670</v>
      </c>
      <c r="B3438" s="106">
        <v>8</v>
      </c>
      <c r="C3438" s="106">
        <v>536374</v>
      </c>
    </row>
    <row r="3439" spans="1:3">
      <c r="A3439" s="102">
        <v>43671</v>
      </c>
      <c r="B3439" s="106">
        <v>10</v>
      </c>
      <c r="C3439" s="106">
        <v>543365</v>
      </c>
    </row>
    <row r="3440" spans="1:3">
      <c r="A3440" s="102">
        <v>43672</v>
      </c>
      <c r="B3440" s="106">
        <v>9</v>
      </c>
      <c r="C3440" s="106">
        <v>541325</v>
      </c>
    </row>
    <row r="3441" spans="1:3">
      <c r="A3441" s="102">
        <v>43673</v>
      </c>
      <c r="B3441" s="106">
        <v>9</v>
      </c>
      <c r="C3441" s="106">
        <v>541325</v>
      </c>
    </row>
    <row r="3442" spans="1:3">
      <c r="A3442" s="102">
        <v>43674</v>
      </c>
      <c r="B3442" s="106">
        <v>9</v>
      </c>
      <c r="C3442" s="106">
        <v>541325</v>
      </c>
    </row>
    <row r="3443" spans="1:3">
      <c r="A3443" s="102">
        <v>43675</v>
      </c>
      <c r="B3443" s="106">
        <v>35</v>
      </c>
      <c r="C3443" s="106">
        <v>564549</v>
      </c>
    </row>
    <row r="3444" spans="1:3">
      <c r="A3444" s="102">
        <v>43676</v>
      </c>
      <c r="B3444" s="106">
        <v>43</v>
      </c>
      <c r="C3444" s="106">
        <v>553143</v>
      </c>
    </row>
    <row r="3445" spans="1:3">
      <c r="A3445" s="102">
        <v>43677</v>
      </c>
      <c r="B3445" s="106">
        <v>8</v>
      </c>
      <c r="C3445" s="106">
        <v>573685</v>
      </c>
    </row>
    <row r="3446" spans="1:3">
      <c r="A3446" s="102">
        <v>43678</v>
      </c>
      <c r="B3446" s="106">
        <v>34</v>
      </c>
      <c r="C3446" s="106">
        <v>554813</v>
      </c>
    </row>
    <row r="3447" spans="1:3">
      <c r="A3447" s="102">
        <v>43679</v>
      </c>
      <c r="B3447" s="106">
        <v>28</v>
      </c>
      <c r="C3447" s="106">
        <v>566804</v>
      </c>
    </row>
    <row r="3448" spans="1:3">
      <c r="A3448" s="102">
        <v>43680</v>
      </c>
      <c r="B3448" s="106">
        <v>28</v>
      </c>
      <c r="C3448" s="106">
        <v>566804</v>
      </c>
    </row>
    <row r="3449" spans="1:3">
      <c r="A3449" s="102">
        <v>43681</v>
      </c>
      <c r="B3449" s="106">
        <v>28</v>
      </c>
      <c r="C3449" s="106">
        <v>566804</v>
      </c>
    </row>
    <row r="3450" spans="1:3">
      <c r="A3450" s="102">
        <v>43682</v>
      </c>
      <c r="B3450" s="106">
        <v>27</v>
      </c>
      <c r="C3450" s="106">
        <v>557701</v>
      </c>
    </row>
    <row r="3451" spans="1:3">
      <c r="A3451" s="102">
        <v>43683</v>
      </c>
      <c r="B3451" s="106">
        <v>23</v>
      </c>
      <c r="C3451" s="106">
        <v>551551</v>
      </c>
    </row>
    <row r="3452" spans="1:3">
      <c r="A3452" s="102">
        <v>43684</v>
      </c>
      <c r="B3452" s="106">
        <v>0</v>
      </c>
      <c r="C3452" s="106">
        <v>556634</v>
      </c>
    </row>
    <row r="3453" spans="1:3">
      <c r="A3453" s="102">
        <v>43685</v>
      </c>
      <c r="B3453" s="106">
        <v>0</v>
      </c>
      <c r="C3453" s="106">
        <v>556611</v>
      </c>
    </row>
    <row r="3454" spans="1:3">
      <c r="A3454" s="102">
        <v>43686</v>
      </c>
      <c r="B3454" s="106">
        <v>0</v>
      </c>
      <c r="C3454" s="106">
        <v>557128</v>
      </c>
    </row>
    <row r="3455" spans="1:3">
      <c r="A3455" s="102">
        <v>43687</v>
      </c>
      <c r="B3455" s="106">
        <v>0</v>
      </c>
      <c r="C3455" s="106">
        <v>557128</v>
      </c>
    </row>
    <row r="3456" spans="1:3">
      <c r="A3456" s="102">
        <v>43688</v>
      </c>
      <c r="B3456" s="106">
        <v>0</v>
      </c>
      <c r="C3456" s="106">
        <v>557128</v>
      </c>
    </row>
    <row r="3457" spans="1:3">
      <c r="A3457" s="102">
        <v>43689</v>
      </c>
      <c r="B3457" s="106">
        <v>6</v>
      </c>
      <c r="C3457" s="106">
        <v>546573</v>
      </c>
    </row>
    <row r="3458" spans="1:3">
      <c r="A3458" s="102">
        <v>43690</v>
      </c>
      <c r="B3458" s="106">
        <v>6</v>
      </c>
      <c r="C3458" s="106">
        <v>554659</v>
      </c>
    </row>
    <row r="3459" spans="1:3">
      <c r="A3459" s="102">
        <v>43691</v>
      </c>
      <c r="B3459" s="106">
        <v>6</v>
      </c>
      <c r="C3459" s="106">
        <v>553294</v>
      </c>
    </row>
    <row r="3460" spans="1:3">
      <c r="A3460" s="102">
        <v>43692</v>
      </c>
      <c r="B3460" s="106">
        <v>0</v>
      </c>
      <c r="C3460" s="106">
        <v>540856</v>
      </c>
    </row>
    <row r="3461" spans="1:3">
      <c r="A3461" s="102">
        <v>43693</v>
      </c>
      <c r="B3461" s="106">
        <v>19</v>
      </c>
      <c r="C3461" s="106">
        <v>542213</v>
      </c>
    </row>
    <row r="3462" spans="1:3">
      <c r="A3462" s="102">
        <v>43694</v>
      </c>
      <c r="B3462" s="106">
        <v>19</v>
      </c>
      <c r="C3462" s="106">
        <v>542213</v>
      </c>
    </row>
    <row r="3463" spans="1:3">
      <c r="A3463" s="102">
        <v>43695</v>
      </c>
      <c r="B3463" s="106">
        <v>19</v>
      </c>
      <c r="C3463" s="106">
        <v>542213</v>
      </c>
    </row>
    <row r="3464" spans="1:3">
      <c r="A3464" s="102">
        <v>43696</v>
      </c>
      <c r="B3464" s="106">
        <v>0</v>
      </c>
      <c r="C3464" s="106">
        <v>545215</v>
      </c>
    </row>
    <row r="3465" spans="1:3">
      <c r="A3465" s="102">
        <v>43697</v>
      </c>
      <c r="B3465" s="106">
        <v>1</v>
      </c>
      <c r="C3465" s="106">
        <v>531054</v>
      </c>
    </row>
    <row r="3466" spans="1:3">
      <c r="A3466" s="102">
        <v>43698</v>
      </c>
      <c r="B3466" s="106">
        <v>4</v>
      </c>
      <c r="C3466" s="106">
        <v>524311</v>
      </c>
    </row>
    <row r="3467" spans="1:3">
      <c r="A3467" s="102">
        <v>43699</v>
      </c>
      <c r="B3467" s="106">
        <v>30</v>
      </c>
      <c r="C3467" s="106">
        <v>539410</v>
      </c>
    </row>
    <row r="3468" spans="1:3">
      <c r="A3468" s="102">
        <v>43700</v>
      </c>
      <c r="B3468" s="106">
        <v>16</v>
      </c>
      <c r="C3468" s="106">
        <v>537669</v>
      </c>
    </row>
    <row r="3469" spans="1:3">
      <c r="A3469" s="102">
        <v>43701</v>
      </c>
      <c r="B3469" s="106">
        <v>16</v>
      </c>
      <c r="C3469" s="106">
        <v>537669</v>
      </c>
    </row>
    <row r="3470" spans="1:3">
      <c r="A3470" s="102">
        <v>43702</v>
      </c>
      <c r="B3470" s="106">
        <v>16</v>
      </c>
      <c r="C3470" s="106">
        <v>537669</v>
      </c>
    </row>
    <row r="3471" spans="1:3">
      <c r="A3471" s="102">
        <v>43703</v>
      </c>
      <c r="B3471" s="106">
        <v>30</v>
      </c>
      <c r="C3471" s="106">
        <v>526339</v>
      </c>
    </row>
    <row r="3472" spans="1:3">
      <c r="A3472" s="102">
        <v>43704</v>
      </c>
      <c r="B3472" s="106">
        <v>32</v>
      </c>
      <c r="C3472" s="106">
        <v>524097</v>
      </c>
    </row>
    <row r="3473" spans="1:3">
      <c r="A3473" s="102">
        <v>43705</v>
      </c>
      <c r="B3473" s="106">
        <v>40</v>
      </c>
      <c r="C3473" s="106">
        <v>533098</v>
      </c>
    </row>
    <row r="3474" spans="1:3">
      <c r="A3474" s="102">
        <v>43706</v>
      </c>
      <c r="B3474" s="106">
        <v>33</v>
      </c>
      <c r="C3474" s="106">
        <v>535988</v>
      </c>
    </row>
    <row r="3475" spans="1:3">
      <c r="A3475" s="102">
        <v>43707</v>
      </c>
      <c r="B3475" s="106">
        <v>0</v>
      </c>
      <c r="C3475" s="106">
        <v>554736</v>
      </c>
    </row>
    <row r="3476" spans="1:3">
      <c r="A3476" s="102">
        <v>43708</v>
      </c>
      <c r="B3476" s="106">
        <v>0</v>
      </c>
      <c r="C3476" s="106">
        <v>554736</v>
      </c>
    </row>
    <row r="3477" spans="1:3">
      <c r="A3477" s="102">
        <v>43709</v>
      </c>
      <c r="B3477" s="106">
        <v>0</v>
      </c>
      <c r="C3477" s="106">
        <v>554736</v>
      </c>
    </row>
    <row r="3478" spans="1:3">
      <c r="A3478" s="102">
        <v>43710</v>
      </c>
      <c r="B3478" s="106">
        <v>150</v>
      </c>
      <c r="C3478" s="106">
        <v>564714</v>
      </c>
    </row>
    <row r="3479" spans="1:3">
      <c r="A3479" s="102">
        <v>43711</v>
      </c>
      <c r="B3479" s="106">
        <v>250</v>
      </c>
      <c r="C3479" s="106">
        <v>560893</v>
      </c>
    </row>
    <row r="3480" spans="1:3">
      <c r="A3480" s="102">
        <v>43712</v>
      </c>
      <c r="B3480" s="106">
        <v>9</v>
      </c>
      <c r="C3480" s="106">
        <v>576202</v>
      </c>
    </row>
    <row r="3481" spans="1:3">
      <c r="A3481" s="102">
        <v>43713</v>
      </c>
      <c r="B3481" s="106">
        <v>17</v>
      </c>
      <c r="C3481" s="106">
        <v>574104</v>
      </c>
    </row>
    <row r="3482" spans="1:3">
      <c r="A3482" s="102">
        <v>43714</v>
      </c>
      <c r="B3482" s="106">
        <v>19</v>
      </c>
      <c r="C3482" s="106">
        <v>581229</v>
      </c>
    </row>
    <row r="3483" spans="1:3">
      <c r="A3483" s="102">
        <v>43715</v>
      </c>
      <c r="B3483" s="106">
        <v>19</v>
      </c>
      <c r="C3483" s="106">
        <v>581229</v>
      </c>
    </row>
    <row r="3484" spans="1:3">
      <c r="A3484" s="102">
        <v>43716</v>
      </c>
      <c r="B3484" s="106">
        <v>19</v>
      </c>
      <c r="C3484" s="106">
        <v>581229</v>
      </c>
    </row>
    <row r="3485" spans="1:3">
      <c r="A3485" s="102">
        <v>43717</v>
      </c>
      <c r="B3485" s="106">
        <v>21</v>
      </c>
      <c r="C3485" s="106">
        <v>591555</v>
      </c>
    </row>
    <row r="3486" spans="1:3">
      <c r="A3486" s="102">
        <v>43718</v>
      </c>
      <c r="B3486" s="106">
        <v>23</v>
      </c>
      <c r="C3486" s="106">
        <v>581448</v>
      </c>
    </row>
    <row r="3487" spans="1:3">
      <c r="A3487" s="102">
        <v>43719</v>
      </c>
      <c r="B3487" s="106">
        <v>1</v>
      </c>
      <c r="C3487" s="106">
        <v>582268</v>
      </c>
    </row>
    <row r="3488" spans="1:3">
      <c r="A3488" s="102">
        <v>43720</v>
      </c>
      <c r="B3488" s="106">
        <v>50</v>
      </c>
      <c r="C3488" s="106">
        <v>577573</v>
      </c>
    </row>
    <row r="3489" spans="1:3">
      <c r="A3489" s="102">
        <v>43721</v>
      </c>
      <c r="B3489" s="106">
        <v>50</v>
      </c>
      <c r="C3489" s="106">
        <v>556987</v>
      </c>
    </row>
    <row r="3490" spans="1:3">
      <c r="A3490" s="102">
        <v>43722</v>
      </c>
      <c r="B3490" s="106">
        <v>50</v>
      </c>
      <c r="C3490" s="106">
        <v>556987</v>
      </c>
    </row>
    <row r="3491" spans="1:3">
      <c r="A3491" s="102">
        <v>43723</v>
      </c>
      <c r="B3491" s="106">
        <v>50</v>
      </c>
      <c r="C3491" s="106">
        <v>556987</v>
      </c>
    </row>
    <row r="3492" spans="1:3">
      <c r="A3492" s="102">
        <v>43724</v>
      </c>
      <c r="B3492" s="106">
        <v>13</v>
      </c>
      <c r="C3492" s="106">
        <v>556968</v>
      </c>
    </row>
    <row r="3493" spans="1:3">
      <c r="A3493" s="102">
        <v>43725</v>
      </c>
      <c r="B3493" s="106">
        <v>58</v>
      </c>
      <c r="C3493" s="106">
        <v>569466</v>
      </c>
    </row>
    <row r="3494" spans="1:3">
      <c r="A3494" s="102">
        <v>43726</v>
      </c>
      <c r="B3494" s="106">
        <v>5</v>
      </c>
      <c r="C3494" s="106">
        <v>455949</v>
      </c>
    </row>
    <row r="3495" spans="1:3">
      <c r="A3495" s="102">
        <v>43727</v>
      </c>
      <c r="B3495" s="106">
        <v>0</v>
      </c>
      <c r="C3495" s="106">
        <v>460021</v>
      </c>
    </row>
    <row r="3496" spans="1:3">
      <c r="A3496" s="102">
        <v>43728</v>
      </c>
      <c r="B3496" s="106">
        <v>0</v>
      </c>
      <c r="C3496" s="106">
        <v>464441</v>
      </c>
    </row>
    <row r="3497" spans="1:3">
      <c r="A3497" s="102">
        <v>43729</v>
      </c>
      <c r="B3497" s="106">
        <v>0</v>
      </c>
      <c r="C3497" s="106">
        <v>464441</v>
      </c>
    </row>
    <row r="3498" spans="1:3">
      <c r="A3498" s="102">
        <v>43730</v>
      </c>
      <c r="B3498" s="106">
        <v>0</v>
      </c>
      <c r="C3498" s="106">
        <v>464441</v>
      </c>
    </row>
    <row r="3499" spans="1:3">
      <c r="A3499" s="102">
        <v>43731</v>
      </c>
      <c r="B3499" s="106">
        <v>15</v>
      </c>
      <c r="C3499" s="106">
        <v>452465</v>
      </c>
    </row>
    <row r="3500" spans="1:3">
      <c r="A3500" s="102">
        <v>43732</v>
      </c>
      <c r="B3500" s="106">
        <v>8</v>
      </c>
      <c r="C3500" s="106">
        <v>460849</v>
      </c>
    </row>
    <row r="3501" spans="1:3">
      <c r="A3501" s="102">
        <v>43733</v>
      </c>
      <c r="B3501" s="106">
        <v>212</v>
      </c>
      <c r="C3501" s="106">
        <v>459532</v>
      </c>
    </row>
    <row r="3502" spans="1:3">
      <c r="A3502" s="102">
        <v>43734</v>
      </c>
      <c r="B3502" s="106">
        <v>37</v>
      </c>
      <c r="C3502" s="106">
        <v>459269</v>
      </c>
    </row>
    <row r="3503" spans="1:3">
      <c r="A3503" s="102">
        <v>43735</v>
      </c>
      <c r="B3503" s="106">
        <v>22</v>
      </c>
      <c r="C3503" s="106">
        <v>459474</v>
      </c>
    </row>
    <row r="3504" spans="1:3">
      <c r="A3504" s="102">
        <v>43736</v>
      </c>
      <c r="B3504" s="106">
        <v>22</v>
      </c>
      <c r="C3504" s="106">
        <v>459474</v>
      </c>
    </row>
    <row r="3505" spans="1:3">
      <c r="A3505" s="102">
        <v>43737</v>
      </c>
      <c r="B3505" s="106">
        <v>22</v>
      </c>
      <c r="C3505" s="106">
        <v>459474</v>
      </c>
    </row>
    <row r="3506" spans="1:3">
      <c r="A3506" s="102">
        <v>43738</v>
      </c>
      <c r="B3506" s="106">
        <v>128</v>
      </c>
      <c r="C3506" s="106">
        <v>480542</v>
      </c>
    </row>
    <row r="3507" spans="1:3">
      <c r="A3507" s="102">
        <v>43739</v>
      </c>
      <c r="B3507" s="106">
        <v>251</v>
      </c>
      <c r="C3507" s="106">
        <v>484720</v>
      </c>
    </row>
    <row r="3508" spans="1:3">
      <c r="A3508" s="102">
        <v>43740</v>
      </c>
      <c r="B3508" s="106">
        <v>0</v>
      </c>
      <c r="C3508" s="106">
        <v>489969</v>
      </c>
    </row>
    <row r="3509" spans="1:3">
      <c r="A3509" s="102">
        <v>43741</v>
      </c>
      <c r="B3509" s="106">
        <v>109</v>
      </c>
      <c r="C3509" s="106">
        <v>452692</v>
      </c>
    </row>
    <row r="3510" spans="1:3">
      <c r="A3510" s="102">
        <v>43742</v>
      </c>
      <c r="B3510" s="106">
        <v>0</v>
      </c>
      <c r="C3510" s="106">
        <v>456509</v>
      </c>
    </row>
    <row r="3511" spans="1:3">
      <c r="A3511" s="102">
        <v>43743</v>
      </c>
      <c r="B3511" s="106">
        <v>0</v>
      </c>
      <c r="C3511" s="106">
        <v>456509</v>
      </c>
    </row>
    <row r="3512" spans="1:3">
      <c r="A3512" s="102">
        <v>43744</v>
      </c>
      <c r="B3512" s="106">
        <v>0</v>
      </c>
      <c r="C3512" s="106">
        <v>456509</v>
      </c>
    </row>
    <row r="3513" spans="1:3">
      <c r="A3513" s="102">
        <v>43745</v>
      </c>
      <c r="B3513" s="106">
        <v>0</v>
      </c>
      <c r="C3513" s="106">
        <v>446556</v>
      </c>
    </row>
    <row r="3514" spans="1:3">
      <c r="A3514" s="102">
        <v>43746</v>
      </c>
      <c r="B3514" s="106">
        <v>250</v>
      </c>
      <c r="C3514" s="106">
        <v>449099</v>
      </c>
    </row>
    <row r="3515" spans="1:3">
      <c r="A3515" s="102">
        <v>43747</v>
      </c>
      <c r="B3515" s="106">
        <v>0</v>
      </c>
      <c r="C3515" s="106">
        <v>460367</v>
      </c>
    </row>
    <row r="3516" spans="1:3">
      <c r="A3516" s="102">
        <v>43748</v>
      </c>
      <c r="B3516" s="106">
        <v>4</v>
      </c>
      <c r="C3516" s="106">
        <v>458706</v>
      </c>
    </row>
    <row r="3517" spans="1:3">
      <c r="A3517" s="102">
        <v>43749</v>
      </c>
      <c r="B3517" s="106">
        <v>6</v>
      </c>
      <c r="C3517" s="106">
        <v>458840</v>
      </c>
    </row>
    <row r="3518" spans="1:3">
      <c r="A3518" s="102">
        <v>43750</v>
      </c>
      <c r="B3518" s="106">
        <v>6</v>
      </c>
      <c r="C3518" s="106">
        <v>458840</v>
      </c>
    </row>
    <row r="3519" spans="1:3">
      <c r="A3519" s="102">
        <v>43751</v>
      </c>
      <c r="B3519" s="106">
        <v>6</v>
      </c>
      <c r="C3519" s="106">
        <v>458840</v>
      </c>
    </row>
    <row r="3520" spans="1:3">
      <c r="A3520" s="102">
        <v>43752</v>
      </c>
      <c r="B3520" s="106">
        <v>44</v>
      </c>
      <c r="C3520" s="106">
        <v>461282</v>
      </c>
    </row>
    <row r="3521" spans="1:3">
      <c r="A3521" s="102">
        <v>43753</v>
      </c>
      <c r="B3521" s="106">
        <v>30</v>
      </c>
      <c r="C3521" s="106">
        <v>445088</v>
      </c>
    </row>
    <row r="3522" spans="1:3">
      <c r="A3522" s="102">
        <v>43754</v>
      </c>
      <c r="B3522" s="106">
        <v>39</v>
      </c>
      <c r="C3522" s="106">
        <v>449548</v>
      </c>
    </row>
    <row r="3523" spans="1:3">
      <c r="A3523" s="102">
        <v>43755</v>
      </c>
      <c r="B3523" s="106">
        <v>4</v>
      </c>
      <c r="C3523" s="106">
        <v>444703</v>
      </c>
    </row>
    <row r="3524" spans="1:3">
      <c r="A3524" s="102">
        <v>43756</v>
      </c>
      <c r="B3524" s="106">
        <v>72</v>
      </c>
      <c r="C3524" s="106">
        <v>438704</v>
      </c>
    </row>
    <row r="3525" spans="1:3">
      <c r="A3525" s="102">
        <v>43757</v>
      </c>
      <c r="B3525" s="106">
        <v>72</v>
      </c>
      <c r="C3525" s="106">
        <v>438704</v>
      </c>
    </row>
    <row r="3526" spans="1:3">
      <c r="A3526" s="102">
        <v>43758</v>
      </c>
      <c r="B3526" s="106">
        <v>72</v>
      </c>
      <c r="C3526" s="106">
        <v>438704</v>
      </c>
    </row>
    <row r="3527" spans="1:3">
      <c r="A3527" s="102">
        <v>43759</v>
      </c>
      <c r="B3527" s="106">
        <v>10</v>
      </c>
      <c r="C3527" s="106">
        <v>451241</v>
      </c>
    </row>
    <row r="3528" spans="1:3">
      <c r="A3528" s="102">
        <v>43760</v>
      </c>
      <c r="B3528" s="106">
        <v>0</v>
      </c>
      <c r="C3528" s="106">
        <v>451940</v>
      </c>
    </row>
    <row r="3529" spans="1:3">
      <c r="A3529" s="102">
        <v>43761</v>
      </c>
      <c r="B3529" s="106">
        <v>104</v>
      </c>
      <c r="C3529" s="106">
        <v>450268</v>
      </c>
    </row>
    <row r="3530" spans="1:3">
      <c r="A3530" s="102">
        <v>43762</v>
      </c>
      <c r="B3530" s="106">
        <v>7</v>
      </c>
      <c r="C3530" s="106">
        <v>446891</v>
      </c>
    </row>
    <row r="3531" spans="1:3">
      <c r="A3531" s="102">
        <v>43763</v>
      </c>
      <c r="B3531" s="106">
        <v>46</v>
      </c>
      <c r="C3531" s="106">
        <v>455469</v>
      </c>
    </row>
    <row r="3532" spans="1:3">
      <c r="A3532" s="102">
        <v>43764</v>
      </c>
      <c r="B3532" s="106">
        <v>46</v>
      </c>
      <c r="C3532" s="106">
        <v>455469</v>
      </c>
    </row>
    <row r="3533" spans="1:3">
      <c r="A3533" s="102">
        <v>43765</v>
      </c>
      <c r="B3533" s="106">
        <v>46</v>
      </c>
      <c r="C3533" s="106">
        <v>455469</v>
      </c>
    </row>
    <row r="3534" spans="1:3">
      <c r="A3534" s="102">
        <v>43766</v>
      </c>
      <c r="B3534" s="106">
        <v>94</v>
      </c>
      <c r="C3534" s="106">
        <v>451740</v>
      </c>
    </row>
    <row r="3535" spans="1:3">
      <c r="A3535" s="102">
        <v>43767</v>
      </c>
      <c r="B3535" s="106">
        <v>53</v>
      </c>
      <c r="C3535" s="106">
        <v>462532</v>
      </c>
    </row>
    <row r="3536" spans="1:3">
      <c r="A3536" s="102">
        <v>43768</v>
      </c>
      <c r="B3536" s="106">
        <v>5</v>
      </c>
      <c r="C3536" s="106">
        <v>224905</v>
      </c>
    </row>
    <row r="3537" spans="1:3">
      <c r="A3537" s="102">
        <v>43769</v>
      </c>
      <c r="B3537" s="106">
        <v>220</v>
      </c>
      <c r="C3537" s="106">
        <v>244009</v>
      </c>
    </row>
    <row r="3538" spans="1:3">
      <c r="A3538" s="102">
        <v>43770</v>
      </c>
      <c r="B3538" s="106">
        <v>18</v>
      </c>
      <c r="C3538" s="106">
        <v>237887</v>
      </c>
    </row>
    <row r="3539" spans="1:3">
      <c r="A3539" s="102">
        <v>43771</v>
      </c>
      <c r="B3539" s="106">
        <v>18</v>
      </c>
      <c r="C3539" s="106">
        <v>237887</v>
      </c>
    </row>
    <row r="3540" spans="1:3">
      <c r="A3540" s="102">
        <v>43772</v>
      </c>
      <c r="B3540" s="106">
        <v>18</v>
      </c>
      <c r="C3540" s="106">
        <v>237887</v>
      </c>
    </row>
    <row r="3541" spans="1:3">
      <c r="A3541" s="102">
        <v>43773</v>
      </c>
      <c r="B3541" s="106">
        <v>0</v>
      </c>
      <c r="C3541" s="106">
        <v>238340</v>
      </c>
    </row>
    <row r="3542" spans="1:3">
      <c r="A3542" s="102">
        <v>43774</v>
      </c>
      <c r="B3542" s="106">
        <v>0</v>
      </c>
      <c r="C3542" s="106">
        <v>241478</v>
      </c>
    </row>
    <row r="3543" spans="1:3">
      <c r="A3543" s="102">
        <v>43775</v>
      </c>
      <c r="B3543" s="106">
        <v>13</v>
      </c>
      <c r="C3543" s="106">
        <v>238971</v>
      </c>
    </row>
    <row r="3544" spans="1:3">
      <c r="A3544" s="102">
        <v>43776</v>
      </c>
      <c r="B3544" s="106">
        <v>0</v>
      </c>
      <c r="C3544" s="106">
        <v>230262</v>
      </c>
    </row>
    <row r="3545" spans="1:3">
      <c r="A3545" s="102">
        <v>43777</v>
      </c>
      <c r="B3545" s="106">
        <v>35</v>
      </c>
      <c r="C3545" s="106">
        <v>255781</v>
      </c>
    </row>
    <row r="3546" spans="1:3">
      <c r="A3546" s="102">
        <v>43778</v>
      </c>
      <c r="B3546" s="106">
        <v>35</v>
      </c>
      <c r="C3546" s="106">
        <v>255781</v>
      </c>
    </row>
    <row r="3547" spans="1:3">
      <c r="A3547" s="102">
        <v>43779</v>
      </c>
      <c r="B3547" s="106">
        <v>35</v>
      </c>
      <c r="C3547" s="106">
        <v>255781</v>
      </c>
    </row>
    <row r="3548" spans="1:3">
      <c r="A3548" s="102">
        <v>43780</v>
      </c>
      <c r="B3548" s="106">
        <v>46</v>
      </c>
      <c r="C3548" s="106">
        <v>250378</v>
      </c>
    </row>
    <row r="3549" spans="1:3">
      <c r="A3549" s="102">
        <v>43781</v>
      </c>
      <c r="B3549" s="106">
        <v>17</v>
      </c>
      <c r="C3549" s="106">
        <v>252585</v>
      </c>
    </row>
    <row r="3550" spans="1:3">
      <c r="A3550" s="102">
        <v>43782</v>
      </c>
      <c r="B3550" s="106">
        <v>21</v>
      </c>
      <c r="C3550" s="106">
        <v>255447</v>
      </c>
    </row>
    <row r="3551" spans="1:3">
      <c r="A3551" s="102">
        <v>43783</v>
      </c>
      <c r="B3551" s="106">
        <v>45</v>
      </c>
      <c r="C3551" s="106">
        <v>235822</v>
      </c>
    </row>
    <row r="3552" spans="1:3">
      <c r="A3552" s="102">
        <v>43784</v>
      </c>
      <c r="B3552" s="106">
        <v>10</v>
      </c>
      <c r="C3552" s="106">
        <v>231412</v>
      </c>
    </row>
    <row r="3553" spans="1:3">
      <c r="A3553" s="102">
        <v>43787</v>
      </c>
      <c r="B3553" s="106">
        <v>42</v>
      </c>
      <c r="C3553" s="106">
        <v>207557</v>
      </c>
    </row>
    <row r="3554" spans="1:3">
      <c r="A3554" s="102">
        <v>43788</v>
      </c>
      <c r="B3554" s="106">
        <v>28</v>
      </c>
      <c r="C3554" s="106">
        <v>218711</v>
      </c>
    </row>
    <row r="3555" spans="1:3">
      <c r="A3555" s="102">
        <v>43789</v>
      </c>
      <c r="B3555" s="106">
        <v>3</v>
      </c>
      <c r="C3555" s="106">
        <v>225248</v>
      </c>
    </row>
    <row r="3556" spans="1:3">
      <c r="A3556" s="102">
        <v>43790</v>
      </c>
      <c r="B3556" s="106">
        <v>3</v>
      </c>
      <c r="C3556" s="106">
        <v>230765</v>
      </c>
    </row>
    <row r="3557" spans="1:3">
      <c r="A3557" s="102">
        <v>43791</v>
      </c>
      <c r="B3557" s="106">
        <v>3</v>
      </c>
      <c r="C3557" s="106">
        <v>230478</v>
      </c>
    </row>
    <row r="3558" spans="1:3">
      <c r="A3558" s="102">
        <v>43792</v>
      </c>
      <c r="B3558" s="106">
        <v>3</v>
      </c>
      <c r="C3558" s="106">
        <v>230478</v>
      </c>
    </row>
    <row r="3559" spans="1:3">
      <c r="A3559" s="102">
        <v>43793</v>
      </c>
      <c r="B3559" s="106">
        <v>3</v>
      </c>
      <c r="C3559" s="106">
        <v>230478</v>
      </c>
    </row>
    <row r="3560" spans="1:3">
      <c r="A3560" s="102">
        <v>43794</v>
      </c>
      <c r="B3560" s="106">
        <v>2</v>
      </c>
      <c r="C3560" s="106">
        <v>235596</v>
      </c>
    </row>
    <row r="3561" spans="1:3">
      <c r="A3561" s="102">
        <v>43795</v>
      </c>
      <c r="B3561" s="106">
        <v>15</v>
      </c>
      <c r="C3561" s="106">
        <v>230202</v>
      </c>
    </row>
    <row r="3562" spans="1:3">
      <c r="A3562" s="102">
        <v>43796</v>
      </c>
      <c r="B3562" s="106">
        <v>20</v>
      </c>
      <c r="C3562" s="106">
        <v>234642</v>
      </c>
    </row>
    <row r="3563" spans="1:3">
      <c r="A3563" s="102">
        <v>43797</v>
      </c>
      <c r="B3563" s="106">
        <v>14</v>
      </c>
      <c r="C3563" s="106">
        <v>234953</v>
      </c>
    </row>
    <row r="3564" spans="1:3">
      <c r="A3564" s="102">
        <v>43798</v>
      </c>
      <c r="B3564" s="106">
        <v>43</v>
      </c>
      <c r="C3564" s="106">
        <v>276103</v>
      </c>
    </row>
    <row r="3565" spans="1:3">
      <c r="A3565" s="102">
        <v>43799</v>
      </c>
      <c r="B3565" s="106">
        <v>43</v>
      </c>
      <c r="C3565" s="106">
        <v>276103</v>
      </c>
    </row>
    <row r="3566" spans="1:3">
      <c r="A3566" s="102">
        <v>43800</v>
      </c>
      <c r="B3566" s="106">
        <v>43</v>
      </c>
      <c r="C3566" s="106">
        <v>276103</v>
      </c>
    </row>
    <row r="3567" spans="1:3">
      <c r="A3567" s="102">
        <v>43801</v>
      </c>
      <c r="B3567" s="106">
        <v>2</v>
      </c>
      <c r="C3567" s="106">
        <v>269097</v>
      </c>
    </row>
    <row r="3568" spans="1:3">
      <c r="A3568" s="102">
        <v>43802</v>
      </c>
      <c r="B3568" s="106">
        <v>157</v>
      </c>
      <c r="C3568" s="106">
        <v>276154</v>
      </c>
    </row>
    <row r="3569" spans="1:3">
      <c r="A3569" s="102">
        <v>43803</v>
      </c>
      <c r="B3569" s="106">
        <v>5</v>
      </c>
      <c r="C3569" s="106">
        <v>269703</v>
      </c>
    </row>
    <row r="3570" spans="1:3">
      <c r="A3570" s="102">
        <v>43804</v>
      </c>
      <c r="B3570" s="106">
        <v>22</v>
      </c>
      <c r="C3570" s="106">
        <v>270456</v>
      </c>
    </row>
    <row r="3571" spans="1:3">
      <c r="A3571" s="102">
        <v>43805</v>
      </c>
      <c r="B3571" s="106">
        <v>17</v>
      </c>
      <c r="C3571" s="106">
        <v>279577</v>
      </c>
    </row>
    <row r="3572" spans="1:3">
      <c r="A3572" s="102">
        <v>43806</v>
      </c>
      <c r="B3572" s="106">
        <v>17</v>
      </c>
      <c r="C3572" s="106">
        <v>279577</v>
      </c>
    </row>
    <row r="3573" spans="1:3">
      <c r="A3573" s="102">
        <v>43807</v>
      </c>
      <c r="B3573" s="106">
        <v>17</v>
      </c>
      <c r="C3573" s="106">
        <v>279577</v>
      </c>
    </row>
    <row r="3574" spans="1:3">
      <c r="A3574" s="102">
        <v>43808</v>
      </c>
      <c r="B3574" s="106">
        <v>1</v>
      </c>
      <c r="C3574" s="106">
        <v>293167</v>
      </c>
    </row>
    <row r="3575" spans="1:3">
      <c r="A3575" s="102">
        <v>43809</v>
      </c>
      <c r="B3575" s="106">
        <v>43</v>
      </c>
      <c r="C3575" s="106">
        <v>307393</v>
      </c>
    </row>
    <row r="3576" spans="1:3">
      <c r="A3576" s="102">
        <v>43810</v>
      </c>
      <c r="B3576" s="106">
        <v>47</v>
      </c>
      <c r="C3576" s="106">
        <v>313522</v>
      </c>
    </row>
    <row r="3577" spans="1:3">
      <c r="A3577" s="102">
        <v>43811</v>
      </c>
      <c r="B3577" s="106">
        <v>12</v>
      </c>
      <c r="C3577" s="106">
        <v>310733</v>
      </c>
    </row>
    <row r="3578" spans="1:3">
      <c r="A3578" s="102">
        <v>43812</v>
      </c>
      <c r="B3578" s="106">
        <v>17</v>
      </c>
      <c r="C3578" s="106">
        <v>297962</v>
      </c>
    </row>
    <row r="3579" spans="1:3">
      <c r="A3579" s="102">
        <v>43813</v>
      </c>
      <c r="B3579" s="106">
        <v>17</v>
      </c>
      <c r="C3579" s="106">
        <v>297962</v>
      </c>
    </row>
    <row r="3580" spans="1:3">
      <c r="A3580" s="102">
        <v>43814</v>
      </c>
      <c r="B3580" s="106">
        <v>17</v>
      </c>
      <c r="C3580" s="106">
        <v>297962</v>
      </c>
    </row>
    <row r="3581" spans="1:3">
      <c r="A3581" s="102">
        <v>43815</v>
      </c>
      <c r="B3581" s="106">
        <v>12</v>
      </c>
      <c r="C3581" s="106">
        <v>331870</v>
      </c>
    </row>
    <row r="3582" spans="1:3">
      <c r="A3582" s="102">
        <v>43816</v>
      </c>
      <c r="B3582" s="106">
        <v>15</v>
      </c>
      <c r="C3582" s="106">
        <v>337851</v>
      </c>
    </row>
    <row r="3583" spans="1:3">
      <c r="A3583" s="102">
        <v>43817</v>
      </c>
      <c r="B3583" s="106">
        <v>27</v>
      </c>
      <c r="C3583" s="106">
        <v>264686</v>
      </c>
    </row>
    <row r="3584" spans="1:3">
      <c r="A3584" s="102">
        <v>43818</v>
      </c>
      <c r="B3584" s="106">
        <v>54</v>
      </c>
      <c r="C3584" s="106">
        <v>253437</v>
      </c>
    </row>
    <row r="3585" spans="1:3">
      <c r="A3585" s="102">
        <v>43819</v>
      </c>
      <c r="B3585" s="106">
        <v>280</v>
      </c>
      <c r="C3585" s="106">
        <v>247199</v>
      </c>
    </row>
    <row r="3586" spans="1:3">
      <c r="A3586" s="102">
        <v>43820</v>
      </c>
      <c r="B3586" s="106">
        <v>280</v>
      </c>
      <c r="C3586" s="106">
        <v>247199</v>
      </c>
    </row>
    <row r="3587" spans="1:3">
      <c r="A3587" s="102">
        <v>43821</v>
      </c>
      <c r="B3587" s="106">
        <v>280</v>
      </c>
      <c r="C3587" s="106">
        <v>247199</v>
      </c>
    </row>
    <row r="3588" spans="1:3">
      <c r="A3588" s="102">
        <v>43822</v>
      </c>
      <c r="B3588" s="106">
        <v>34</v>
      </c>
      <c r="C3588" s="106">
        <v>252433</v>
      </c>
    </row>
    <row r="3589" spans="1:3">
      <c r="A3589" s="102">
        <v>43823</v>
      </c>
      <c r="B3589" s="106">
        <v>2</v>
      </c>
      <c r="C3589" s="106">
        <v>251212</v>
      </c>
    </row>
    <row r="3590" spans="1:3">
      <c r="A3590" s="102">
        <v>43824</v>
      </c>
      <c r="B3590" s="106">
        <v>2</v>
      </c>
      <c r="C3590" s="106">
        <v>251212</v>
      </c>
    </row>
    <row r="3591" spans="1:3">
      <c r="A3591" s="102">
        <v>43825</v>
      </c>
      <c r="B3591" s="106">
        <v>2</v>
      </c>
      <c r="C3591" s="106">
        <v>251212</v>
      </c>
    </row>
    <row r="3592" spans="1:3">
      <c r="A3592" s="102">
        <v>43826</v>
      </c>
      <c r="B3592" s="106">
        <v>55</v>
      </c>
      <c r="C3592" s="106">
        <v>227464</v>
      </c>
    </row>
    <row r="3593" spans="1:3">
      <c r="A3593" s="102">
        <v>43827</v>
      </c>
      <c r="B3593" s="106">
        <v>55</v>
      </c>
      <c r="C3593" s="106">
        <v>227464</v>
      </c>
    </row>
    <row r="3594" spans="1:3">
      <c r="A3594" s="102">
        <v>43828</v>
      </c>
      <c r="B3594" s="106">
        <v>55</v>
      </c>
      <c r="C3594" s="106">
        <v>227464</v>
      </c>
    </row>
    <row r="3595" spans="1:3">
      <c r="A3595" s="102">
        <v>43829</v>
      </c>
      <c r="B3595" s="106">
        <v>135</v>
      </c>
      <c r="C3595" s="106">
        <v>249216</v>
      </c>
    </row>
    <row r="3596" spans="1:3">
      <c r="A3596" s="102">
        <v>43830</v>
      </c>
      <c r="B3596" s="106">
        <v>140</v>
      </c>
      <c r="C3596" s="106">
        <v>275710</v>
      </c>
    </row>
    <row r="3597" spans="1:3">
      <c r="A3597" s="102">
        <v>43831</v>
      </c>
      <c r="B3597" s="106">
        <v>140</v>
      </c>
      <c r="C3597" s="106">
        <v>275710</v>
      </c>
    </row>
    <row r="3598" spans="1:3">
      <c r="A3598" s="102">
        <v>43832</v>
      </c>
      <c r="B3598" s="106">
        <v>2</v>
      </c>
      <c r="C3598" s="106">
        <v>235479</v>
      </c>
    </row>
    <row r="3599" spans="1:3">
      <c r="A3599" s="102">
        <v>43833</v>
      </c>
      <c r="B3599" s="106">
        <v>1</v>
      </c>
      <c r="C3599" s="106">
        <v>228929</v>
      </c>
    </row>
    <row r="3600" spans="1:3">
      <c r="A3600" s="102">
        <v>43834</v>
      </c>
      <c r="B3600" s="106">
        <v>1</v>
      </c>
      <c r="C3600" s="106">
        <v>228929</v>
      </c>
    </row>
    <row r="3601" spans="1:3">
      <c r="A3601" s="102">
        <v>43835</v>
      </c>
      <c r="B3601" s="106">
        <v>1</v>
      </c>
      <c r="C3601" s="106">
        <v>228929</v>
      </c>
    </row>
    <row r="3602" spans="1:3">
      <c r="A3602" s="102">
        <v>43836</v>
      </c>
      <c r="B3602" s="106">
        <v>0</v>
      </c>
      <c r="C3602" s="106">
        <v>241522</v>
      </c>
    </row>
    <row r="3603" spans="1:3">
      <c r="A3603" s="102">
        <v>43837</v>
      </c>
      <c r="B3603" s="106">
        <v>0</v>
      </c>
      <c r="C3603" s="106">
        <v>236745</v>
      </c>
    </row>
    <row r="3604" spans="1:3">
      <c r="A3604" s="102">
        <v>43838</v>
      </c>
      <c r="B3604" s="106">
        <v>0</v>
      </c>
      <c r="C3604" s="106">
        <v>234130</v>
      </c>
    </row>
    <row r="3605" spans="1:3">
      <c r="A3605" s="102">
        <v>43839</v>
      </c>
      <c r="B3605" s="106">
        <v>0</v>
      </c>
      <c r="C3605" s="106">
        <v>239584</v>
      </c>
    </row>
    <row r="3606" spans="1:3">
      <c r="A3606" s="102">
        <v>43840</v>
      </c>
      <c r="B3606" s="106">
        <v>35</v>
      </c>
      <c r="C3606" s="106">
        <v>242572</v>
      </c>
    </row>
    <row r="3607" spans="1:3">
      <c r="A3607" s="102">
        <v>43841</v>
      </c>
      <c r="B3607" s="106">
        <v>35</v>
      </c>
      <c r="C3607" s="106">
        <v>242572</v>
      </c>
    </row>
    <row r="3608" spans="1:3">
      <c r="A3608" s="102">
        <v>43842</v>
      </c>
      <c r="B3608" s="106">
        <v>35</v>
      </c>
      <c r="C3608" s="106">
        <v>242572</v>
      </c>
    </row>
    <row r="3609" spans="1:3">
      <c r="A3609" s="102">
        <v>43843</v>
      </c>
      <c r="B3609" s="106">
        <v>36</v>
      </c>
      <c r="C3609" s="106">
        <v>249213</v>
      </c>
    </row>
    <row r="3610" spans="1:3">
      <c r="A3610" s="102">
        <v>43844</v>
      </c>
      <c r="B3610" s="106">
        <v>19</v>
      </c>
      <c r="C3610" s="106">
        <v>279946</v>
      </c>
    </row>
    <row r="3611" spans="1:3">
      <c r="A3611" s="102">
        <v>43845</v>
      </c>
      <c r="B3611" s="106">
        <v>0</v>
      </c>
      <c r="C3611" s="106">
        <v>247902</v>
      </c>
    </row>
    <row r="3612" spans="1:3">
      <c r="A3612" s="102">
        <v>43846</v>
      </c>
      <c r="B3612" s="106">
        <v>4</v>
      </c>
      <c r="C3612" s="106">
        <v>253586</v>
      </c>
    </row>
    <row r="3613" spans="1:3">
      <c r="A3613" s="102">
        <v>43847</v>
      </c>
      <c r="B3613" s="106">
        <v>5</v>
      </c>
      <c r="C3613" s="106">
        <v>258334</v>
      </c>
    </row>
    <row r="3614" spans="1:3">
      <c r="A3614" s="102">
        <v>43848</v>
      </c>
      <c r="B3614" s="106">
        <v>5</v>
      </c>
      <c r="C3614" s="106">
        <v>258334</v>
      </c>
    </row>
    <row r="3615" spans="1:3">
      <c r="A3615" s="102">
        <v>43849</v>
      </c>
      <c r="B3615" s="106">
        <v>5</v>
      </c>
      <c r="C3615" s="106">
        <v>258334</v>
      </c>
    </row>
    <row r="3616" spans="1:3">
      <c r="A3616" s="102">
        <v>43850</v>
      </c>
      <c r="B3616" s="106">
        <v>7</v>
      </c>
      <c r="C3616" s="106">
        <v>271697</v>
      </c>
    </row>
    <row r="3617" spans="1:3">
      <c r="A3617" s="102">
        <v>43851</v>
      </c>
      <c r="B3617" s="106">
        <v>8</v>
      </c>
      <c r="C3617" s="106">
        <v>275671</v>
      </c>
    </row>
    <row r="3618" spans="1:3">
      <c r="A3618" s="102">
        <v>43852</v>
      </c>
      <c r="B3618" s="106">
        <v>4</v>
      </c>
      <c r="C3618" s="106">
        <v>278553</v>
      </c>
    </row>
    <row r="3619" spans="1:3">
      <c r="A3619" s="102">
        <v>43853</v>
      </c>
      <c r="B3619" s="106">
        <v>9</v>
      </c>
      <c r="C3619" s="106">
        <v>281292</v>
      </c>
    </row>
    <row r="3620" spans="1:3">
      <c r="A3620" s="102">
        <v>43854</v>
      </c>
      <c r="B3620" s="106">
        <v>0</v>
      </c>
      <c r="C3620" s="106">
        <v>280887</v>
      </c>
    </row>
    <row r="3621" spans="1:3">
      <c r="A3621" s="102">
        <v>43855</v>
      </c>
      <c r="B3621" s="106">
        <v>0</v>
      </c>
      <c r="C3621" s="106">
        <v>280887</v>
      </c>
    </row>
    <row r="3622" spans="1:3">
      <c r="A3622" s="102">
        <v>43856</v>
      </c>
      <c r="B3622" s="106">
        <v>0</v>
      </c>
      <c r="C3622" s="106">
        <v>280887</v>
      </c>
    </row>
    <row r="3623" spans="1:3">
      <c r="A3623" s="102">
        <v>43857</v>
      </c>
      <c r="B3623" s="106">
        <v>10</v>
      </c>
      <c r="C3623" s="106">
        <v>287978</v>
      </c>
    </row>
    <row r="3624" spans="1:3">
      <c r="A3624" s="102">
        <v>43858</v>
      </c>
      <c r="B3624" s="106">
        <v>0</v>
      </c>
      <c r="C3624" s="106">
        <v>330929</v>
      </c>
    </row>
    <row r="3625" spans="1:3">
      <c r="A3625" s="102">
        <v>43859</v>
      </c>
      <c r="B3625" s="106">
        <v>5</v>
      </c>
      <c r="C3625" s="106">
        <v>241472</v>
      </c>
    </row>
    <row r="3626" spans="1:3">
      <c r="A3626" s="102">
        <v>43860</v>
      </c>
      <c r="B3626" s="106">
        <v>49</v>
      </c>
      <c r="C3626" s="106">
        <v>236265</v>
      </c>
    </row>
    <row r="3627" spans="1:3">
      <c r="A3627" s="102">
        <v>43861</v>
      </c>
      <c r="B3627" s="106">
        <v>0</v>
      </c>
      <c r="C3627" s="106">
        <v>260001</v>
      </c>
    </row>
    <row r="3628" spans="1:3">
      <c r="A3628" s="102">
        <v>43862</v>
      </c>
      <c r="B3628" s="106">
        <v>0</v>
      </c>
      <c r="C3628" s="106">
        <v>260001</v>
      </c>
    </row>
    <row r="3629" spans="1:3">
      <c r="A3629" s="102">
        <v>43863</v>
      </c>
      <c r="B3629" s="106">
        <v>0</v>
      </c>
      <c r="C3629" s="106">
        <v>260001</v>
      </c>
    </row>
    <row r="3630" spans="1:3">
      <c r="A3630" s="102">
        <v>43864</v>
      </c>
      <c r="B3630" s="106">
        <v>6</v>
      </c>
      <c r="C3630" s="106">
        <v>249825</v>
      </c>
    </row>
    <row r="3631" spans="1:3">
      <c r="A3631" s="102">
        <v>43865</v>
      </c>
      <c r="B3631" s="106">
        <v>19</v>
      </c>
      <c r="C3631" s="106">
        <v>244214</v>
      </c>
    </row>
    <row r="3632" spans="1:3">
      <c r="A3632" s="102">
        <v>43866</v>
      </c>
      <c r="B3632" s="106">
        <v>0</v>
      </c>
      <c r="C3632" s="106">
        <v>232889</v>
      </c>
    </row>
    <row r="3633" spans="1:3">
      <c r="A3633" s="102">
        <v>43867</v>
      </c>
      <c r="B3633" s="106">
        <v>0</v>
      </c>
      <c r="C3633" s="106">
        <v>233982</v>
      </c>
    </row>
    <row r="3634" spans="1:3">
      <c r="A3634" s="102">
        <v>43868</v>
      </c>
      <c r="B3634" s="106">
        <v>0</v>
      </c>
      <c r="C3634" s="106">
        <v>235043</v>
      </c>
    </row>
    <row r="3635" spans="1:3">
      <c r="A3635" s="102">
        <v>43869</v>
      </c>
      <c r="B3635" s="106">
        <v>0</v>
      </c>
      <c r="C3635" s="106">
        <v>235043</v>
      </c>
    </row>
    <row r="3636" spans="1:3">
      <c r="A3636" s="102">
        <v>43870</v>
      </c>
      <c r="B3636" s="106">
        <v>0</v>
      </c>
      <c r="C3636" s="106">
        <v>235043</v>
      </c>
    </row>
    <row r="3637" spans="1:3">
      <c r="A3637" s="102">
        <v>43871</v>
      </c>
      <c r="B3637" s="106">
        <v>0</v>
      </c>
      <c r="C3637" s="106">
        <v>226233</v>
      </c>
    </row>
    <row r="3638" spans="1:3">
      <c r="A3638" s="102">
        <v>43872</v>
      </c>
      <c r="B3638" s="106">
        <v>0</v>
      </c>
      <c r="C3638" s="106">
        <v>227124</v>
      </c>
    </row>
    <row r="3639" spans="1:3">
      <c r="A3639" s="102">
        <v>43873</v>
      </c>
      <c r="B3639" s="106">
        <v>23</v>
      </c>
      <c r="C3639" s="106">
        <v>225571</v>
      </c>
    </row>
    <row r="3640" spans="1:3">
      <c r="A3640" s="102">
        <v>43874</v>
      </c>
      <c r="B3640" s="106">
        <v>0</v>
      </c>
      <c r="C3640" s="106">
        <v>227025</v>
      </c>
    </row>
    <row r="3641" spans="1:3">
      <c r="A3641" s="102">
        <v>43875</v>
      </c>
      <c r="B3641" s="106">
        <v>177</v>
      </c>
      <c r="C3641" s="106">
        <v>223226</v>
      </c>
    </row>
    <row r="3642" spans="1:3">
      <c r="A3642" s="102">
        <v>43876</v>
      </c>
      <c r="B3642" s="106">
        <v>177</v>
      </c>
      <c r="C3642" s="106">
        <v>223226</v>
      </c>
    </row>
    <row r="3643" spans="1:3">
      <c r="A3643" s="102">
        <v>43877</v>
      </c>
      <c r="B3643" s="106">
        <v>177</v>
      </c>
      <c r="C3643" s="106">
        <v>223226</v>
      </c>
    </row>
    <row r="3644" spans="1:3">
      <c r="A3644" s="102">
        <v>43878</v>
      </c>
      <c r="B3644" s="106">
        <v>0</v>
      </c>
      <c r="C3644" s="106">
        <v>225482</v>
      </c>
    </row>
    <row r="3645" spans="1:3">
      <c r="A3645" s="102">
        <v>43879</v>
      </c>
      <c r="B3645" s="106">
        <v>5</v>
      </c>
      <c r="C3645" s="106">
        <v>223538</v>
      </c>
    </row>
    <row r="3646" spans="1:3">
      <c r="A3646" s="102">
        <v>43880</v>
      </c>
      <c r="B3646" s="106">
        <v>26</v>
      </c>
      <c r="C3646" s="106">
        <v>227682</v>
      </c>
    </row>
    <row r="3647" spans="1:3">
      <c r="A3647" s="102">
        <v>43881</v>
      </c>
      <c r="B3647" s="106">
        <v>15</v>
      </c>
      <c r="C3647" s="106">
        <v>228554</v>
      </c>
    </row>
    <row r="3648" spans="1:3">
      <c r="A3648" s="102">
        <v>43882</v>
      </c>
      <c r="B3648" s="106">
        <v>55</v>
      </c>
      <c r="C3648" s="106">
        <v>227690</v>
      </c>
    </row>
    <row r="3649" spans="1:3">
      <c r="A3649" s="102">
        <v>43883</v>
      </c>
      <c r="B3649" s="106">
        <v>55</v>
      </c>
      <c r="C3649" s="106">
        <v>227690</v>
      </c>
    </row>
    <row r="3650" spans="1:3">
      <c r="A3650" s="102">
        <v>43884</v>
      </c>
      <c r="B3650" s="106">
        <v>55</v>
      </c>
      <c r="C3650" s="106">
        <v>227690</v>
      </c>
    </row>
    <row r="3651" spans="1:3">
      <c r="A3651" s="102">
        <v>43885</v>
      </c>
      <c r="B3651" s="106">
        <v>22</v>
      </c>
      <c r="C3651" s="106">
        <v>225092</v>
      </c>
    </row>
    <row r="3652" spans="1:3">
      <c r="A3652" s="102">
        <v>43886</v>
      </c>
      <c r="B3652" s="106">
        <v>29</v>
      </c>
      <c r="C3652" s="106">
        <v>230054</v>
      </c>
    </row>
    <row r="3653" spans="1:3">
      <c r="A3653" s="102">
        <v>43887</v>
      </c>
      <c r="B3653" s="106">
        <v>36</v>
      </c>
      <c r="C3653" s="106">
        <v>231064</v>
      </c>
    </row>
    <row r="3654" spans="1:3">
      <c r="A3654" s="102">
        <v>43888</v>
      </c>
      <c r="B3654" s="106">
        <v>55</v>
      </c>
      <c r="C3654" s="106">
        <v>228022</v>
      </c>
    </row>
    <row r="3655" spans="1:3">
      <c r="A3655" s="102">
        <v>43889</v>
      </c>
      <c r="B3655" s="106">
        <v>0</v>
      </c>
      <c r="C3655" s="106">
        <v>256617</v>
      </c>
    </row>
    <row r="3656" spans="1:3">
      <c r="A3656" s="102">
        <v>43890</v>
      </c>
      <c r="B3656" s="106">
        <v>0</v>
      </c>
      <c r="C3656" s="106">
        <v>256617</v>
      </c>
    </row>
    <row r="3657" spans="1:3">
      <c r="A3657" s="102">
        <v>43891</v>
      </c>
      <c r="B3657" s="106">
        <v>0</v>
      </c>
      <c r="C3657" s="106">
        <v>256617</v>
      </c>
    </row>
    <row r="3658" spans="1:3">
      <c r="A3658" s="102">
        <v>43892</v>
      </c>
      <c r="B3658" s="106">
        <v>0</v>
      </c>
      <c r="C3658" s="106">
        <v>242401</v>
      </c>
    </row>
    <row r="3659" spans="1:3">
      <c r="A3659" s="102">
        <v>43893</v>
      </c>
      <c r="B3659" s="106">
        <v>0</v>
      </c>
      <c r="C3659" s="106">
        <v>252483</v>
      </c>
    </row>
    <row r="3660" spans="1:3">
      <c r="A3660" s="102">
        <v>43894</v>
      </c>
      <c r="B3660" s="106">
        <v>6</v>
      </c>
      <c r="C3660" s="106">
        <v>250884</v>
      </c>
    </row>
    <row r="3661" spans="1:3">
      <c r="A3661" s="102">
        <v>43895</v>
      </c>
      <c r="B3661" s="106">
        <v>8</v>
      </c>
      <c r="C3661" s="106">
        <v>251478</v>
      </c>
    </row>
    <row r="3662" spans="1:3">
      <c r="A3662" s="102">
        <v>43896</v>
      </c>
      <c r="B3662" s="106">
        <v>14</v>
      </c>
      <c r="C3662" s="106">
        <v>248326</v>
      </c>
    </row>
    <row r="3663" spans="1:3">
      <c r="A3663" s="102">
        <v>43897</v>
      </c>
      <c r="B3663" s="106">
        <v>14</v>
      </c>
      <c r="C3663" s="106">
        <v>248326</v>
      </c>
    </row>
    <row r="3664" spans="1:3">
      <c r="A3664" s="102">
        <v>43898</v>
      </c>
      <c r="B3664" s="106">
        <v>14</v>
      </c>
      <c r="C3664" s="106">
        <v>248326</v>
      </c>
    </row>
    <row r="3665" spans="1:3">
      <c r="A3665" s="102">
        <v>43899</v>
      </c>
      <c r="B3665" s="106">
        <v>16</v>
      </c>
      <c r="C3665" s="106">
        <v>242125</v>
      </c>
    </row>
    <row r="3666" spans="1:3">
      <c r="A3666" s="102">
        <v>43900</v>
      </c>
      <c r="B3666" s="106">
        <v>8</v>
      </c>
      <c r="C3666" s="106">
        <v>252607</v>
      </c>
    </row>
    <row r="3667" spans="1:3">
      <c r="A3667" s="102">
        <v>43901</v>
      </c>
      <c r="B3667" s="106">
        <v>13</v>
      </c>
      <c r="C3667" s="106">
        <v>288714</v>
      </c>
    </row>
    <row r="3668" spans="1:3">
      <c r="A3668" s="102">
        <v>43902</v>
      </c>
      <c r="B3668" s="106">
        <v>7</v>
      </c>
      <c r="C3668" s="106">
        <v>285687</v>
      </c>
    </row>
    <row r="3669" spans="1:3">
      <c r="A3669" s="102">
        <v>43903</v>
      </c>
      <c r="B3669" s="106">
        <v>8</v>
      </c>
      <c r="C3669" s="106">
        <v>284106</v>
      </c>
    </row>
    <row r="3670" spans="1:3">
      <c r="A3670" s="102">
        <v>43904</v>
      </c>
      <c r="B3670" s="106">
        <v>8</v>
      </c>
      <c r="C3670" s="106">
        <v>284106</v>
      </c>
    </row>
    <row r="3671" spans="1:3">
      <c r="A3671" s="102">
        <v>43905</v>
      </c>
      <c r="B3671" s="106">
        <v>8</v>
      </c>
      <c r="C3671" s="106">
        <v>284106</v>
      </c>
    </row>
    <row r="3672" spans="1:3">
      <c r="A3672" s="102">
        <v>43906</v>
      </c>
      <c r="B3672" s="106">
        <v>2</v>
      </c>
      <c r="C3672" s="106">
        <v>259483</v>
      </c>
    </row>
    <row r="3673" spans="1:3">
      <c r="A3673" s="102">
        <v>43907</v>
      </c>
      <c r="B3673" s="106">
        <v>0</v>
      </c>
      <c r="C3673" s="106">
        <v>291447</v>
      </c>
    </row>
    <row r="3674" spans="1:3">
      <c r="A3674" s="102">
        <v>43908</v>
      </c>
      <c r="B3674" s="106">
        <v>49</v>
      </c>
      <c r="C3674" s="106">
        <v>208534</v>
      </c>
    </row>
    <row r="3675" spans="1:3">
      <c r="A3675" s="102">
        <v>43909</v>
      </c>
      <c r="B3675" s="106">
        <v>18</v>
      </c>
      <c r="C3675" s="106">
        <v>208426</v>
      </c>
    </row>
    <row r="3676" spans="1:3">
      <c r="A3676" s="102">
        <v>43910</v>
      </c>
      <c r="B3676" s="106">
        <v>4</v>
      </c>
      <c r="C3676" s="106">
        <v>200425</v>
      </c>
    </row>
    <row r="3677" spans="1:3">
      <c r="A3677" s="102">
        <v>43911</v>
      </c>
      <c r="B3677" s="106">
        <v>4</v>
      </c>
      <c r="C3677" s="106">
        <v>200425</v>
      </c>
    </row>
    <row r="3678" spans="1:3">
      <c r="A3678" s="102">
        <v>43912</v>
      </c>
      <c r="B3678" s="106">
        <v>4</v>
      </c>
      <c r="C3678" s="106">
        <v>200425</v>
      </c>
    </row>
    <row r="3679" spans="1:3">
      <c r="A3679" s="102">
        <v>43913</v>
      </c>
      <c r="B3679" s="106">
        <v>1</v>
      </c>
      <c r="C3679" s="106">
        <v>201509</v>
      </c>
    </row>
    <row r="3680" spans="1:3">
      <c r="A3680" s="102">
        <v>43914</v>
      </c>
      <c r="B3680" s="106">
        <v>2</v>
      </c>
      <c r="C3680" s="106">
        <v>200750</v>
      </c>
    </row>
    <row r="3681" spans="1:3">
      <c r="A3681" s="102">
        <v>43915</v>
      </c>
      <c r="B3681" s="106">
        <v>0</v>
      </c>
      <c r="C3681" s="106">
        <v>202109</v>
      </c>
    </row>
    <row r="3682" spans="1:3">
      <c r="A3682" s="102">
        <v>43916</v>
      </c>
      <c r="B3682" s="106">
        <v>10</v>
      </c>
      <c r="C3682" s="106">
        <v>208898</v>
      </c>
    </row>
    <row r="3683" spans="1:3">
      <c r="A3683" s="102">
        <v>43917</v>
      </c>
      <c r="B3683" s="106">
        <v>3</v>
      </c>
      <c r="C3683" s="106">
        <v>212454</v>
      </c>
    </row>
    <row r="3684" spans="1:3">
      <c r="A3684" s="102">
        <v>43918</v>
      </c>
      <c r="B3684" s="106">
        <v>3</v>
      </c>
      <c r="C3684" s="106">
        <v>212454</v>
      </c>
    </row>
    <row r="3685" spans="1:3">
      <c r="A3685" s="102">
        <v>43919</v>
      </c>
      <c r="B3685" s="106">
        <v>3</v>
      </c>
      <c r="C3685" s="106">
        <v>212454</v>
      </c>
    </row>
    <row r="3686" spans="1:3">
      <c r="A3686" s="102">
        <v>43920</v>
      </c>
      <c r="B3686" s="106">
        <v>19</v>
      </c>
      <c r="C3686" s="106">
        <v>220388</v>
      </c>
    </row>
    <row r="3687" spans="1:3">
      <c r="A3687" s="102">
        <v>43921</v>
      </c>
      <c r="B3687" s="106">
        <v>0</v>
      </c>
      <c r="C3687" s="106">
        <v>238744</v>
      </c>
    </row>
    <row r="3688" spans="1:3">
      <c r="A3688" s="102">
        <v>43922</v>
      </c>
      <c r="B3688" s="106">
        <v>0</v>
      </c>
      <c r="C3688" s="106">
        <v>222182</v>
      </c>
    </row>
    <row r="3689" spans="1:3">
      <c r="A3689" s="102">
        <v>43923</v>
      </c>
      <c r="B3689" s="106">
        <v>0</v>
      </c>
      <c r="C3689" s="106">
        <v>227001</v>
      </c>
    </row>
    <row r="3690" spans="1:3">
      <c r="A3690" s="102">
        <v>43924</v>
      </c>
      <c r="B3690" s="106">
        <v>0</v>
      </c>
      <c r="C3690" s="106">
        <v>250850</v>
      </c>
    </row>
    <row r="3691" spans="1:3">
      <c r="A3691" s="102">
        <v>43925</v>
      </c>
      <c r="B3691" s="106">
        <v>0</v>
      </c>
      <c r="C3691" s="106">
        <v>250850</v>
      </c>
    </row>
    <row r="3692" spans="1:3">
      <c r="A3692" s="102">
        <v>43926</v>
      </c>
      <c r="B3692" s="106">
        <v>0</v>
      </c>
      <c r="C3692" s="106">
        <v>250850</v>
      </c>
    </row>
    <row r="3693" spans="1:3">
      <c r="A3693" s="102">
        <v>43927</v>
      </c>
      <c r="B3693" s="106">
        <v>0</v>
      </c>
      <c r="C3693" s="106">
        <v>266257</v>
      </c>
    </row>
    <row r="3694" spans="1:3">
      <c r="A3694" s="102">
        <v>43928</v>
      </c>
      <c r="B3694" s="106">
        <v>7</v>
      </c>
      <c r="C3694" s="106">
        <v>261782</v>
      </c>
    </row>
    <row r="3695" spans="1:3">
      <c r="A3695" s="102">
        <v>43929</v>
      </c>
      <c r="B3695" s="106">
        <v>12</v>
      </c>
      <c r="C3695" s="106">
        <v>266406</v>
      </c>
    </row>
    <row r="3696" spans="1:3">
      <c r="A3696" s="102">
        <v>43930</v>
      </c>
      <c r="B3696" s="106">
        <v>15</v>
      </c>
      <c r="C3696" s="106">
        <v>262359</v>
      </c>
    </row>
    <row r="3697" spans="1:3">
      <c r="A3697" s="102">
        <v>43931</v>
      </c>
      <c r="B3697" s="106">
        <v>15</v>
      </c>
      <c r="C3697" s="106">
        <v>262359</v>
      </c>
    </row>
    <row r="3698" spans="1:3">
      <c r="A3698" s="102">
        <v>43932</v>
      </c>
      <c r="B3698" s="106">
        <v>15</v>
      </c>
      <c r="C3698" s="106">
        <v>262359</v>
      </c>
    </row>
    <row r="3699" spans="1:3">
      <c r="A3699" s="102">
        <v>43933</v>
      </c>
      <c r="B3699" s="106">
        <v>15</v>
      </c>
      <c r="C3699" s="106">
        <v>262359</v>
      </c>
    </row>
    <row r="3700" spans="1:3">
      <c r="A3700" s="102">
        <v>43934</v>
      </c>
      <c r="B3700" s="106">
        <v>15</v>
      </c>
      <c r="C3700" s="106">
        <v>262359</v>
      </c>
    </row>
    <row r="3701" spans="1:3">
      <c r="A3701" s="102">
        <v>43935</v>
      </c>
      <c r="B3701" s="106">
        <v>6</v>
      </c>
      <c r="C3701" s="106">
        <v>275189</v>
      </c>
    </row>
    <row r="3702" spans="1:3">
      <c r="A3702" s="102">
        <v>43936</v>
      </c>
      <c r="B3702" s="106">
        <v>8</v>
      </c>
      <c r="C3702" s="106">
        <v>271185</v>
      </c>
    </row>
    <row r="3703" spans="1:3">
      <c r="A3703" s="102">
        <v>43937</v>
      </c>
      <c r="B3703" s="106">
        <v>0</v>
      </c>
      <c r="C3703" s="106">
        <v>267911</v>
      </c>
    </row>
    <row r="3704" spans="1:3">
      <c r="A3704" s="102">
        <v>43938</v>
      </c>
      <c r="B3704" s="106">
        <v>0</v>
      </c>
      <c r="C3704" s="106">
        <v>272013</v>
      </c>
    </row>
    <row r="3705" spans="1:3">
      <c r="A3705" s="102">
        <v>43939</v>
      </c>
      <c r="B3705" s="106">
        <v>0</v>
      </c>
      <c r="C3705" s="106">
        <v>272013</v>
      </c>
    </row>
    <row r="3706" spans="1:3">
      <c r="A3706" s="102">
        <v>43940</v>
      </c>
      <c r="B3706" s="106">
        <v>0</v>
      </c>
      <c r="C3706" s="106">
        <v>272013</v>
      </c>
    </row>
    <row r="3707" spans="1:3">
      <c r="A3707" s="102">
        <v>43941</v>
      </c>
      <c r="B3707" s="106">
        <v>1</v>
      </c>
      <c r="C3707" s="106">
        <v>293537</v>
      </c>
    </row>
    <row r="3708" spans="1:3">
      <c r="A3708" s="102">
        <v>43942</v>
      </c>
      <c r="B3708" s="106">
        <v>0</v>
      </c>
      <c r="C3708" s="106">
        <v>293287</v>
      </c>
    </row>
    <row r="3709" spans="1:3">
      <c r="A3709" s="102">
        <v>43943</v>
      </c>
      <c r="B3709" s="106">
        <v>0</v>
      </c>
      <c r="C3709" s="106">
        <v>291380</v>
      </c>
    </row>
    <row r="3710" spans="1:3">
      <c r="A3710" s="102">
        <v>43944</v>
      </c>
      <c r="B3710" s="106">
        <v>0</v>
      </c>
      <c r="C3710" s="106">
        <v>294797</v>
      </c>
    </row>
    <row r="3711" spans="1:3">
      <c r="A3711" s="102">
        <v>43945</v>
      </c>
      <c r="B3711" s="106">
        <v>3</v>
      </c>
      <c r="C3711" s="106">
        <v>331635</v>
      </c>
    </row>
    <row r="3712" spans="1:3">
      <c r="A3712" s="102">
        <v>43946</v>
      </c>
      <c r="B3712" s="106">
        <v>3</v>
      </c>
      <c r="C3712" s="106">
        <v>331635</v>
      </c>
    </row>
    <row r="3713" spans="1:3">
      <c r="A3713" s="102">
        <v>43947</v>
      </c>
      <c r="B3713" s="106">
        <v>3</v>
      </c>
      <c r="C3713" s="106">
        <v>331635</v>
      </c>
    </row>
    <row r="3714" spans="1:3">
      <c r="A3714" s="102">
        <v>43948</v>
      </c>
      <c r="B3714" s="106">
        <v>0</v>
      </c>
      <c r="C3714" s="106">
        <v>346566</v>
      </c>
    </row>
    <row r="3715" spans="1:3">
      <c r="A3715" s="102">
        <v>43949</v>
      </c>
      <c r="B3715" s="106">
        <v>0</v>
      </c>
      <c r="C3715" s="106">
        <v>343124</v>
      </c>
    </row>
    <row r="3716" spans="1:3">
      <c r="A3716" s="102">
        <v>43950</v>
      </c>
      <c r="B3716" s="106">
        <v>0</v>
      </c>
      <c r="C3716" s="106">
        <v>356186</v>
      </c>
    </row>
    <row r="3717" spans="1:3">
      <c r="A3717" s="102">
        <v>43951</v>
      </c>
      <c r="B3717" s="106">
        <v>0</v>
      </c>
      <c r="C3717" s="106">
        <v>361803</v>
      </c>
    </row>
    <row r="3718" spans="1:3">
      <c r="A3718" s="102">
        <v>43952</v>
      </c>
      <c r="B3718" s="106">
        <v>0</v>
      </c>
      <c r="C3718" s="106">
        <v>361803</v>
      </c>
    </row>
    <row r="3719" spans="1:3">
      <c r="A3719" s="102">
        <v>43953</v>
      </c>
      <c r="B3719" s="106">
        <v>0</v>
      </c>
      <c r="C3719" s="106">
        <v>361803</v>
      </c>
    </row>
    <row r="3720" spans="1:3">
      <c r="A3720" s="102">
        <v>43954</v>
      </c>
      <c r="B3720" s="106">
        <v>0</v>
      </c>
      <c r="C3720" s="106">
        <v>361803</v>
      </c>
    </row>
    <row r="3721" spans="1:3">
      <c r="A3721" s="102">
        <v>43955</v>
      </c>
      <c r="B3721" s="106">
        <v>21</v>
      </c>
      <c r="C3721" s="106">
        <v>387798</v>
      </c>
    </row>
    <row r="3722" spans="1:3">
      <c r="A3722" s="102">
        <v>43956</v>
      </c>
      <c r="B3722" s="106">
        <v>5</v>
      </c>
      <c r="C3722" s="106">
        <v>402119</v>
      </c>
    </row>
    <row r="3723" spans="1:3">
      <c r="A3723" s="102">
        <v>43957</v>
      </c>
      <c r="B3723" s="106">
        <v>0</v>
      </c>
      <c r="C3723" s="106">
        <v>271766</v>
      </c>
    </row>
    <row r="3724" spans="1:3">
      <c r="A3724" s="102">
        <v>43958</v>
      </c>
      <c r="B3724" s="106">
        <v>0</v>
      </c>
      <c r="C3724" s="106">
        <v>254285</v>
      </c>
    </row>
    <row r="3725" spans="1:3">
      <c r="A3725" s="102">
        <v>43959</v>
      </c>
      <c r="B3725" s="106">
        <v>0</v>
      </c>
      <c r="C3725" s="106">
        <v>254328</v>
      </c>
    </row>
    <row r="3726" spans="1:3">
      <c r="A3726" s="102">
        <v>43960</v>
      </c>
      <c r="B3726" s="106">
        <v>0</v>
      </c>
      <c r="C3726" s="106">
        <v>254328</v>
      </c>
    </row>
    <row r="3727" spans="1:3">
      <c r="A3727" s="102">
        <v>43961</v>
      </c>
      <c r="B3727" s="106">
        <v>0</v>
      </c>
      <c r="C3727" s="106">
        <v>254328</v>
      </c>
    </row>
    <row r="3728" spans="1:3">
      <c r="A3728" s="102">
        <v>43962</v>
      </c>
      <c r="B3728" s="106">
        <v>5</v>
      </c>
      <c r="C3728" s="106">
        <v>260555</v>
      </c>
    </row>
    <row r="3729" spans="1:3">
      <c r="A3729" s="102">
        <v>43963</v>
      </c>
      <c r="B3729" s="106">
        <v>0</v>
      </c>
      <c r="C3729" s="106">
        <v>257472</v>
      </c>
    </row>
    <row r="3730" spans="1:3">
      <c r="A3730" s="102">
        <v>43964</v>
      </c>
      <c r="B3730" s="106">
        <v>0</v>
      </c>
      <c r="C3730" s="106">
        <v>266980</v>
      </c>
    </row>
    <row r="3731" spans="1:3">
      <c r="A3731" s="102">
        <v>43965</v>
      </c>
      <c r="B3731" s="106">
        <v>0</v>
      </c>
      <c r="C3731" s="106">
        <v>273874</v>
      </c>
    </row>
    <row r="3732" spans="1:3">
      <c r="A3732" s="102">
        <v>43966</v>
      </c>
      <c r="B3732" s="106">
        <v>0</v>
      </c>
      <c r="C3732" s="106">
        <v>269032</v>
      </c>
    </row>
    <row r="3733" spans="1:3">
      <c r="A3733" s="102">
        <v>43967</v>
      </c>
      <c r="B3733" s="106">
        <v>0</v>
      </c>
      <c r="C3733" s="106">
        <v>269032</v>
      </c>
    </row>
    <row r="3734" spans="1:3">
      <c r="A3734" s="102">
        <v>43968</v>
      </c>
      <c r="B3734" s="106">
        <v>0</v>
      </c>
      <c r="C3734" s="106">
        <v>269032</v>
      </c>
    </row>
    <row r="3735" spans="1:3">
      <c r="A3735" s="102">
        <v>43969</v>
      </c>
      <c r="B3735" s="106">
        <v>0</v>
      </c>
      <c r="C3735" s="106">
        <v>279772</v>
      </c>
    </row>
    <row r="3736" spans="1:3">
      <c r="A3736" s="102">
        <v>43970</v>
      </c>
      <c r="B3736" s="106">
        <v>0</v>
      </c>
      <c r="C3736" s="106">
        <v>272574</v>
      </c>
    </row>
    <row r="3737" spans="1:3">
      <c r="A3737" s="102">
        <v>43971</v>
      </c>
      <c r="B3737" s="106">
        <v>0</v>
      </c>
      <c r="C3737" s="106">
        <v>266463</v>
      </c>
    </row>
    <row r="3738" spans="1:3">
      <c r="A3738" s="102">
        <v>43972</v>
      </c>
      <c r="B3738" s="106">
        <v>3</v>
      </c>
      <c r="C3738" s="106">
        <v>259408</v>
      </c>
    </row>
    <row r="3739" spans="1:3">
      <c r="A3739" s="102">
        <v>43973</v>
      </c>
      <c r="B3739" s="106">
        <v>12</v>
      </c>
      <c r="C3739" s="106">
        <v>299631</v>
      </c>
    </row>
    <row r="3740" spans="1:3">
      <c r="A3740" s="102">
        <v>43974</v>
      </c>
      <c r="B3740" s="106">
        <v>12</v>
      </c>
      <c r="C3740" s="106">
        <v>299631</v>
      </c>
    </row>
    <row r="3741" spans="1:3">
      <c r="A3741" s="102">
        <v>43975</v>
      </c>
      <c r="B3741" s="106">
        <v>12</v>
      </c>
      <c r="C3741" s="106">
        <v>299631</v>
      </c>
    </row>
    <row r="3742" spans="1:3">
      <c r="A3742" s="102">
        <v>43976</v>
      </c>
      <c r="B3742" s="106">
        <v>37</v>
      </c>
      <c r="C3742" s="106">
        <v>295035</v>
      </c>
    </row>
    <row r="3743" spans="1:3">
      <c r="A3743" s="102">
        <v>43977</v>
      </c>
      <c r="B3743" s="106">
        <v>167</v>
      </c>
      <c r="C3743" s="106">
        <v>299949</v>
      </c>
    </row>
    <row r="3744" spans="1:3">
      <c r="A3744" s="102">
        <v>43978</v>
      </c>
      <c r="B3744" s="106">
        <v>30</v>
      </c>
      <c r="C3744" s="106">
        <v>306929</v>
      </c>
    </row>
    <row r="3745" spans="1:3">
      <c r="A3745" s="102">
        <v>43979</v>
      </c>
      <c r="B3745" s="106">
        <v>35</v>
      </c>
      <c r="C3745" s="106">
        <v>307416</v>
      </c>
    </row>
    <row r="3746" spans="1:3">
      <c r="A3746" s="102">
        <v>43980</v>
      </c>
      <c r="B3746" s="106">
        <v>50</v>
      </c>
      <c r="C3746" s="106">
        <v>322357</v>
      </c>
    </row>
    <row r="3747" spans="1:3">
      <c r="A3747" s="102">
        <v>43981</v>
      </c>
      <c r="B3747" s="106">
        <v>50</v>
      </c>
      <c r="C3747" s="106">
        <v>322357</v>
      </c>
    </row>
    <row r="3748" spans="1:3">
      <c r="A3748" s="102">
        <v>43982</v>
      </c>
      <c r="B3748" s="106">
        <v>50</v>
      </c>
      <c r="C3748" s="106">
        <v>322357</v>
      </c>
    </row>
    <row r="3749" spans="1:3">
      <c r="A3749" s="102">
        <v>43983</v>
      </c>
      <c r="B3749" s="106">
        <v>11</v>
      </c>
      <c r="C3749" s="106">
        <v>332087</v>
      </c>
    </row>
    <row r="3750" spans="1:3">
      <c r="A3750" s="102">
        <v>43984</v>
      </c>
      <c r="B3750" s="106">
        <v>0</v>
      </c>
      <c r="C3750" s="106">
        <v>347239</v>
      </c>
    </row>
    <row r="3751" spans="1:3">
      <c r="A3751" s="102">
        <v>43985</v>
      </c>
      <c r="B3751" s="106">
        <v>0</v>
      </c>
      <c r="C3751" s="106">
        <v>348718</v>
      </c>
    </row>
    <row r="3752" spans="1:3">
      <c r="A3752" s="102">
        <v>43986</v>
      </c>
      <c r="B3752" s="106">
        <v>8</v>
      </c>
      <c r="C3752" s="106">
        <v>343444</v>
      </c>
    </row>
    <row r="3753" spans="1:3">
      <c r="A3753" s="102">
        <v>43987</v>
      </c>
      <c r="B3753" s="106">
        <v>9</v>
      </c>
      <c r="C3753" s="106">
        <v>362046</v>
      </c>
    </row>
    <row r="3754" spans="1:3">
      <c r="A3754" s="102">
        <v>43988</v>
      </c>
      <c r="B3754" s="106">
        <v>9</v>
      </c>
      <c r="C3754" s="106">
        <v>362046</v>
      </c>
    </row>
    <row r="3755" spans="1:3">
      <c r="A3755" s="102">
        <v>43989</v>
      </c>
      <c r="B3755" s="106">
        <v>9</v>
      </c>
      <c r="C3755" s="106">
        <v>362046</v>
      </c>
    </row>
    <row r="3756" spans="1:3">
      <c r="A3756" s="102">
        <v>43990</v>
      </c>
      <c r="B3756" s="106">
        <v>9</v>
      </c>
      <c r="C3756" s="106">
        <v>363773</v>
      </c>
    </row>
    <row r="3757" spans="1:3">
      <c r="A3757" s="102">
        <v>43991</v>
      </c>
      <c r="B3757" s="106">
        <v>14</v>
      </c>
      <c r="C3757" s="106">
        <v>368081</v>
      </c>
    </row>
    <row r="3758" spans="1:3">
      <c r="A3758" s="102">
        <v>43992</v>
      </c>
      <c r="B3758" s="106">
        <v>16</v>
      </c>
      <c r="C3758" s="106">
        <v>236631</v>
      </c>
    </row>
    <row r="3759" spans="1:3">
      <c r="A3759" s="102">
        <v>43993</v>
      </c>
      <c r="B3759" s="106">
        <v>25</v>
      </c>
      <c r="C3759" s="106">
        <v>254005</v>
      </c>
    </row>
    <row r="3760" spans="1:3">
      <c r="A3760" s="102">
        <v>43994</v>
      </c>
      <c r="B3760" s="106">
        <v>27</v>
      </c>
      <c r="C3760" s="106">
        <v>246535</v>
      </c>
    </row>
    <row r="3761" spans="1:3">
      <c r="A3761" s="102">
        <v>43995</v>
      </c>
      <c r="B3761" s="106">
        <v>27</v>
      </c>
      <c r="C3761" s="106">
        <v>246535</v>
      </c>
    </row>
    <row r="3762" spans="1:3">
      <c r="A3762" s="102">
        <v>43996</v>
      </c>
      <c r="B3762" s="106">
        <v>27</v>
      </c>
      <c r="C3762" s="106">
        <v>246535</v>
      </c>
    </row>
    <row r="3763" spans="1:3">
      <c r="A3763" s="102">
        <v>43997</v>
      </c>
      <c r="B3763" s="106">
        <v>7</v>
      </c>
      <c r="C3763" s="106">
        <v>244245</v>
      </c>
    </row>
    <row r="3764" spans="1:3">
      <c r="A3764" s="102">
        <v>43998</v>
      </c>
      <c r="B3764" s="106">
        <v>0</v>
      </c>
      <c r="C3764" s="106">
        <v>242979</v>
      </c>
    </row>
    <row r="3765" spans="1:3">
      <c r="A3765" s="102">
        <v>43999</v>
      </c>
      <c r="B3765" s="106">
        <v>5</v>
      </c>
      <c r="C3765" s="106">
        <v>242154</v>
      </c>
    </row>
    <row r="3766" spans="1:3">
      <c r="A3766" s="102">
        <v>44000</v>
      </c>
      <c r="B3766" s="106">
        <v>0</v>
      </c>
      <c r="C3766" s="106">
        <v>264465</v>
      </c>
    </row>
    <row r="3767" spans="1:3">
      <c r="A3767" s="102">
        <v>44001</v>
      </c>
      <c r="B3767" s="106">
        <v>0</v>
      </c>
      <c r="C3767" s="106">
        <v>267647</v>
      </c>
    </row>
    <row r="3768" spans="1:3">
      <c r="A3768" s="102">
        <v>44002</v>
      </c>
      <c r="B3768" s="106">
        <v>0</v>
      </c>
      <c r="C3768" s="106">
        <v>267647</v>
      </c>
    </row>
    <row r="3769" spans="1:3">
      <c r="A3769" s="102">
        <v>44003</v>
      </c>
      <c r="B3769" s="106">
        <v>0</v>
      </c>
      <c r="C3769" s="106">
        <v>267647</v>
      </c>
    </row>
    <row r="3770" spans="1:3">
      <c r="A3770" s="102">
        <v>44004</v>
      </c>
      <c r="B3770" s="106">
        <v>0</v>
      </c>
      <c r="C3770" s="106">
        <v>270360</v>
      </c>
    </row>
    <row r="3771" spans="1:3">
      <c r="A3771" s="102">
        <v>44005</v>
      </c>
      <c r="B3771" s="106">
        <v>1</v>
      </c>
      <c r="C3771" s="106">
        <v>275180</v>
      </c>
    </row>
    <row r="3772" spans="1:3">
      <c r="A3772" s="102">
        <v>44006</v>
      </c>
      <c r="B3772" s="106">
        <v>0</v>
      </c>
      <c r="C3772" s="106">
        <v>286082</v>
      </c>
    </row>
    <row r="3773" spans="1:3">
      <c r="A3773" s="102">
        <v>44007</v>
      </c>
      <c r="B3773" s="106">
        <v>22</v>
      </c>
      <c r="C3773" s="106">
        <v>291022</v>
      </c>
    </row>
    <row r="3774" spans="1:3">
      <c r="A3774" s="102">
        <v>44008</v>
      </c>
      <c r="B3774" s="106">
        <v>7</v>
      </c>
      <c r="C3774" s="106">
        <v>299197</v>
      </c>
    </row>
    <row r="3775" spans="1:3">
      <c r="A3775" s="102">
        <v>44009</v>
      </c>
      <c r="B3775" s="106">
        <v>7</v>
      </c>
      <c r="C3775" s="106">
        <v>299197</v>
      </c>
    </row>
    <row r="3776" spans="1:3">
      <c r="A3776" s="102">
        <v>44010</v>
      </c>
      <c r="B3776" s="106">
        <v>7</v>
      </c>
      <c r="C3776" s="106">
        <v>299197</v>
      </c>
    </row>
    <row r="3777" spans="1:3">
      <c r="A3777" s="102">
        <v>44011</v>
      </c>
      <c r="B3777" s="106">
        <v>7</v>
      </c>
      <c r="C3777" s="106">
        <v>313531</v>
      </c>
    </row>
    <row r="3778" spans="1:3">
      <c r="A3778" s="102">
        <v>44012</v>
      </c>
      <c r="B3778" s="106">
        <v>0</v>
      </c>
      <c r="C3778" s="106">
        <v>353622</v>
      </c>
    </row>
    <row r="3779" spans="1:3">
      <c r="A3779" s="102">
        <v>44013</v>
      </c>
      <c r="B3779" s="106">
        <v>0</v>
      </c>
      <c r="C3779" s="106">
        <v>395395</v>
      </c>
    </row>
    <row r="3780" spans="1:3">
      <c r="A3780" s="102">
        <v>44014</v>
      </c>
      <c r="B3780" s="106">
        <v>0</v>
      </c>
      <c r="C3780" s="106">
        <v>410322</v>
      </c>
    </row>
    <row r="3781" spans="1:3">
      <c r="A3781" s="102">
        <v>44015</v>
      </c>
      <c r="B3781" s="106">
        <v>0</v>
      </c>
      <c r="C3781" s="106">
        <v>418949</v>
      </c>
    </row>
    <row r="3782" spans="1:3">
      <c r="A3782" s="102">
        <v>44016</v>
      </c>
      <c r="B3782" s="106">
        <v>0</v>
      </c>
      <c r="C3782" s="106">
        <v>418949</v>
      </c>
    </row>
    <row r="3783" spans="1:3">
      <c r="A3783" s="102">
        <v>44017</v>
      </c>
      <c r="B3783" s="106">
        <v>0</v>
      </c>
      <c r="C3783" s="106">
        <v>418949</v>
      </c>
    </row>
    <row r="3784" spans="1:3">
      <c r="A3784" s="102">
        <v>44018</v>
      </c>
      <c r="B3784" s="106">
        <v>0</v>
      </c>
      <c r="C3784" s="106">
        <v>431866</v>
      </c>
    </row>
    <row r="3785" spans="1:3">
      <c r="A3785" s="102">
        <v>44019</v>
      </c>
      <c r="B3785" s="106">
        <v>0</v>
      </c>
      <c r="C3785" s="106">
        <v>434524</v>
      </c>
    </row>
    <row r="3786" spans="1:3">
      <c r="A3786" s="102">
        <v>44020</v>
      </c>
      <c r="B3786" s="106">
        <v>0</v>
      </c>
      <c r="C3786" s="106">
        <v>444079</v>
      </c>
    </row>
    <row r="3787" spans="1:3">
      <c r="A3787" s="102">
        <v>44021</v>
      </c>
      <c r="B3787" s="106">
        <v>0</v>
      </c>
      <c r="C3787" s="106">
        <v>444528</v>
      </c>
    </row>
    <row r="3788" spans="1:3">
      <c r="A3788" s="102">
        <v>44022</v>
      </c>
      <c r="B3788" s="106">
        <v>0</v>
      </c>
      <c r="C3788" s="106">
        <v>459737</v>
      </c>
    </row>
    <row r="3789" spans="1:3">
      <c r="A3789" s="102">
        <v>44023</v>
      </c>
      <c r="B3789" s="106">
        <v>0</v>
      </c>
      <c r="C3789" s="106">
        <v>459737</v>
      </c>
    </row>
    <row r="3790" spans="1:3">
      <c r="A3790" s="102">
        <v>44024</v>
      </c>
      <c r="B3790" s="106">
        <v>0</v>
      </c>
      <c r="C3790" s="106">
        <v>459737</v>
      </c>
    </row>
    <row r="3791" spans="1:3">
      <c r="A3791" s="102">
        <v>44025</v>
      </c>
      <c r="B3791" s="106">
        <v>10</v>
      </c>
      <c r="C3791" s="106">
        <v>453611</v>
      </c>
    </row>
    <row r="3792" spans="1:3">
      <c r="A3792" s="102">
        <v>44026</v>
      </c>
      <c r="B3792" s="106">
        <v>23</v>
      </c>
      <c r="C3792" s="106">
        <v>447396</v>
      </c>
    </row>
    <row r="3793" spans="1:3">
      <c r="A3793" s="102">
        <v>44027</v>
      </c>
      <c r="B3793" s="106">
        <v>1</v>
      </c>
      <c r="C3793" s="106">
        <v>458995</v>
      </c>
    </row>
    <row r="3794" spans="1:3">
      <c r="A3794" s="102">
        <v>44028</v>
      </c>
      <c r="B3794" s="106">
        <v>0</v>
      </c>
      <c r="C3794" s="106">
        <v>443686</v>
      </c>
    </row>
    <row r="3795" spans="1:3">
      <c r="A3795" s="102">
        <v>44029</v>
      </c>
      <c r="B3795" s="106">
        <v>3</v>
      </c>
      <c r="C3795" s="106">
        <v>452386</v>
      </c>
    </row>
    <row r="3796" spans="1:3">
      <c r="A3796" s="102">
        <v>44030</v>
      </c>
      <c r="B3796" s="106">
        <v>3</v>
      </c>
      <c r="C3796" s="106">
        <v>452386</v>
      </c>
    </row>
    <row r="3797" spans="1:3">
      <c r="A3797" s="102">
        <v>44031</v>
      </c>
      <c r="B3797" s="106">
        <v>3</v>
      </c>
      <c r="C3797" s="106">
        <v>452386</v>
      </c>
    </row>
    <row r="3798" spans="1:3">
      <c r="A3798" s="102">
        <v>44032</v>
      </c>
      <c r="B3798" s="106">
        <v>0</v>
      </c>
      <c r="C3798" s="106">
        <v>434959</v>
      </c>
    </row>
    <row r="3799" spans="1:3">
      <c r="A3799" s="102">
        <v>44033</v>
      </c>
      <c r="B3799" s="106">
        <v>0</v>
      </c>
      <c r="C3799" s="106">
        <v>447965</v>
      </c>
    </row>
    <row r="3800" spans="1:3">
      <c r="A3800" s="102">
        <v>44034</v>
      </c>
      <c r="B3800" s="106">
        <v>74</v>
      </c>
      <c r="C3800" s="106">
        <v>290685</v>
      </c>
    </row>
    <row r="3801" spans="1:3">
      <c r="A3801" s="102">
        <v>44035</v>
      </c>
      <c r="B3801" s="106">
        <v>36</v>
      </c>
      <c r="C3801" s="106">
        <v>277524</v>
      </c>
    </row>
    <row r="3802" spans="1:3">
      <c r="A3802" s="102">
        <v>44036</v>
      </c>
      <c r="B3802" s="106">
        <v>10</v>
      </c>
      <c r="C3802" s="106">
        <v>289814</v>
      </c>
    </row>
    <row r="3803" spans="1:3">
      <c r="A3803" s="102">
        <v>44037</v>
      </c>
      <c r="B3803" s="106">
        <v>10</v>
      </c>
      <c r="C3803" s="106">
        <v>289814</v>
      </c>
    </row>
    <row r="3804" spans="1:3">
      <c r="A3804" s="102">
        <v>44038</v>
      </c>
      <c r="B3804" s="106">
        <v>10</v>
      </c>
      <c r="C3804" s="106">
        <v>289814</v>
      </c>
    </row>
    <row r="3805" spans="1:3">
      <c r="A3805" s="102">
        <v>44039</v>
      </c>
      <c r="B3805" s="106">
        <v>90</v>
      </c>
      <c r="C3805" s="106">
        <v>305514</v>
      </c>
    </row>
    <row r="3806" spans="1:3">
      <c r="A3806" s="102">
        <v>44040</v>
      </c>
      <c r="B3806" s="106">
        <v>95</v>
      </c>
      <c r="C3806" s="106">
        <v>300018</v>
      </c>
    </row>
    <row r="3807" spans="1:3">
      <c r="A3807" s="102">
        <v>44041</v>
      </c>
      <c r="B3807" s="106">
        <v>70</v>
      </c>
      <c r="C3807" s="106">
        <v>301521</v>
      </c>
    </row>
    <row r="3808" spans="1:3">
      <c r="A3808" s="102">
        <v>44042</v>
      </c>
      <c r="B3808" s="106">
        <v>154</v>
      </c>
      <c r="C3808" s="106">
        <v>315988</v>
      </c>
    </row>
    <row r="3809" spans="1:3">
      <c r="A3809" s="102">
        <v>44043</v>
      </c>
      <c r="B3809" s="106">
        <v>0</v>
      </c>
      <c r="C3809" s="106">
        <v>347407</v>
      </c>
    </row>
    <row r="3810" spans="1:3">
      <c r="A3810" s="102">
        <v>44044</v>
      </c>
      <c r="B3810" s="106">
        <v>0</v>
      </c>
      <c r="C3810" s="106">
        <v>347407</v>
      </c>
    </row>
    <row r="3811" spans="1:3">
      <c r="A3811" s="102">
        <v>44045</v>
      </c>
      <c r="B3811" s="106">
        <v>0</v>
      </c>
      <c r="C3811" s="106">
        <v>347407</v>
      </c>
    </row>
    <row r="3812" spans="1:3">
      <c r="A3812" s="102">
        <v>44046</v>
      </c>
      <c r="B3812" s="106">
        <v>0</v>
      </c>
      <c r="C3812" s="106">
        <v>351503</v>
      </c>
    </row>
    <row r="3813" spans="1:3">
      <c r="A3813" s="102">
        <v>44047</v>
      </c>
      <c r="B3813" s="106">
        <v>1</v>
      </c>
      <c r="C3813" s="106">
        <v>368039</v>
      </c>
    </row>
    <row r="3814" spans="1:3">
      <c r="A3814" s="102">
        <v>44048</v>
      </c>
      <c r="B3814" s="106">
        <v>1</v>
      </c>
      <c r="C3814" s="106">
        <v>358857</v>
      </c>
    </row>
    <row r="3815" spans="1:3">
      <c r="A3815" s="102">
        <v>44049</v>
      </c>
      <c r="B3815" s="106">
        <v>81</v>
      </c>
      <c r="C3815" s="106">
        <v>361174</v>
      </c>
    </row>
    <row r="3816" spans="1:3">
      <c r="A3816" s="102">
        <v>44050</v>
      </c>
      <c r="B3816" s="106">
        <v>0</v>
      </c>
      <c r="C3816" s="106">
        <v>376243</v>
      </c>
    </row>
    <row r="3817" spans="1:3">
      <c r="A3817" s="102">
        <v>44051</v>
      </c>
      <c r="B3817" s="106">
        <v>0</v>
      </c>
      <c r="C3817" s="106">
        <v>376243</v>
      </c>
    </row>
    <row r="3818" spans="1:3">
      <c r="A3818" s="102">
        <v>44052</v>
      </c>
      <c r="B3818" s="106">
        <v>0</v>
      </c>
      <c r="C3818" s="106">
        <v>376243</v>
      </c>
    </row>
    <row r="3819" spans="1:3">
      <c r="A3819" s="102">
        <v>44053</v>
      </c>
      <c r="B3819" s="106">
        <v>0</v>
      </c>
      <c r="C3819" s="106">
        <v>397314</v>
      </c>
    </row>
    <row r="3820" spans="1:3">
      <c r="A3820" s="102">
        <v>44054</v>
      </c>
      <c r="B3820" s="106">
        <v>22</v>
      </c>
      <c r="C3820" s="106">
        <v>84507</v>
      </c>
    </row>
    <row r="3821" spans="1:3">
      <c r="A3821" s="102">
        <v>44055</v>
      </c>
      <c r="B3821" s="106">
        <v>3</v>
      </c>
      <c r="C3821" s="106">
        <v>415147</v>
      </c>
    </row>
    <row r="3822" spans="1:3">
      <c r="A3822" s="102">
        <v>44056</v>
      </c>
      <c r="B3822" s="106">
        <v>0</v>
      </c>
      <c r="C3822" s="106">
        <v>449309</v>
      </c>
    </row>
    <row r="3823" spans="1:3">
      <c r="A3823" s="102">
        <v>44057</v>
      </c>
      <c r="B3823" s="106">
        <v>0</v>
      </c>
      <c r="C3823" s="106">
        <v>451720</v>
      </c>
    </row>
    <row r="3824" spans="1:3">
      <c r="A3824" s="102">
        <v>44058</v>
      </c>
      <c r="B3824" s="106">
        <v>0</v>
      </c>
      <c r="C3824" s="106">
        <v>451720</v>
      </c>
    </row>
    <row r="3825" spans="1:3">
      <c r="A3825" s="102">
        <v>44059</v>
      </c>
      <c r="B3825" s="106">
        <v>0</v>
      </c>
      <c r="C3825" s="106">
        <v>451720</v>
      </c>
    </row>
    <row r="3826" spans="1:3">
      <c r="A3826" s="102">
        <v>44060</v>
      </c>
      <c r="B3826" s="106">
        <v>0</v>
      </c>
      <c r="C3826" s="106">
        <v>443704</v>
      </c>
    </row>
    <row r="3827" spans="1:3">
      <c r="A3827" s="102">
        <v>44061</v>
      </c>
      <c r="B3827" s="106">
        <v>0</v>
      </c>
      <c r="C3827" s="106">
        <v>449948</v>
      </c>
    </row>
    <row r="3828" spans="1:3">
      <c r="A3828" s="102">
        <v>44062</v>
      </c>
      <c r="B3828" s="106">
        <v>0</v>
      </c>
      <c r="C3828" s="106">
        <v>445363</v>
      </c>
    </row>
    <row r="3829" spans="1:3">
      <c r="A3829" s="102">
        <v>44063</v>
      </c>
      <c r="B3829" s="106">
        <v>0</v>
      </c>
      <c r="C3829" s="106">
        <v>443825</v>
      </c>
    </row>
    <row r="3830" spans="1:3">
      <c r="A3830" s="102">
        <v>44064</v>
      </c>
      <c r="B3830" s="106">
        <v>0</v>
      </c>
      <c r="C3830" s="106">
        <v>445436</v>
      </c>
    </row>
    <row r="3831" spans="1:3">
      <c r="A3831" s="102">
        <v>44065</v>
      </c>
      <c r="B3831" s="106">
        <v>0</v>
      </c>
      <c r="C3831" s="106">
        <v>445436</v>
      </c>
    </row>
    <row r="3832" spans="1:3">
      <c r="A3832" s="102">
        <v>44066</v>
      </c>
      <c r="B3832" s="106">
        <v>0</v>
      </c>
      <c r="C3832" s="106">
        <v>445436</v>
      </c>
    </row>
    <row r="3833" spans="1:3">
      <c r="A3833" s="102">
        <v>44067</v>
      </c>
      <c r="B3833" s="106">
        <v>0</v>
      </c>
      <c r="C3833" s="106">
        <v>452491</v>
      </c>
    </row>
    <row r="3834" spans="1:3">
      <c r="A3834" s="102">
        <v>44068</v>
      </c>
      <c r="B3834" s="106">
        <v>0</v>
      </c>
      <c r="C3834" s="106">
        <v>450809</v>
      </c>
    </row>
    <row r="3835" spans="1:3">
      <c r="A3835" s="102">
        <v>44069</v>
      </c>
      <c r="B3835" s="106">
        <v>0</v>
      </c>
      <c r="C3835" s="106">
        <v>446235</v>
      </c>
    </row>
    <row r="3836" spans="1:3">
      <c r="A3836" s="102">
        <v>44070</v>
      </c>
      <c r="B3836" s="106">
        <v>4</v>
      </c>
      <c r="C3836" s="106">
        <v>443155</v>
      </c>
    </row>
    <row r="3837" spans="1:3">
      <c r="A3837" s="102">
        <v>44071</v>
      </c>
      <c r="B3837" s="106">
        <v>6</v>
      </c>
      <c r="C3837" s="106">
        <v>476236</v>
      </c>
    </row>
    <row r="3838" spans="1:3">
      <c r="A3838" s="102">
        <v>44072</v>
      </c>
      <c r="B3838" s="106">
        <v>6</v>
      </c>
      <c r="C3838" s="106">
        <v>476236</v>
      </c>
    </row>
    <row r="3839" spans="1:3">
      <c r="A3839" s="102">
        <v>44073</v>
      </c>
      <c r="B3839" s="106">
        <v>6</v>
      </c>
      <c r="C3839" s="106">
        <v>476236</v>
      </c>
    </row>
    <row r="3840" spans="1:3">
      <c r="A3840" s="102">
        <v>44074</v>
      </c>
      <c r="B3840" s="106">
        <v>0</v>
      </c>
      <c r="C3840" s="106">
        <v>483021</v>
      </c>
    </row>
    <row r="3841" spans="1:3">
      <c r="A3841" s="102">
        <v>44075</v>
      </c>
      <c r="B3841" s="106">
        <v>4</v>
      </c>
      <c r="C3841" s="106">
        <v>500980</v>
      </c>
    </row>
    <row r="3842" spans="1:3">
      <c r="A3842" s="102">
        <v>44076</v>
      </c>
      <c r="B3842" s="106">
        <v>0</v>
      </c>
      <c r="C3842" s="106">
        <v>488881</v>
      </c>
    </row>
    <row r="3843" spans="1:3">
      <c r="A3843" s="102">
        <v>44077</v>
      </c>
      <c r="B3843" s="106">
        <v>0</v>
      </c>
      <c r="C3843" s="106">
        <v>478705</v>
      </c>
    </row>
    <row r="3844" spans="1:3">
      <c r="A3844" s="102">
        <v>44078</v>
      </c>
      <c r="B3844" s="106">
        <v>0</v>
      </c>
      <c r="C3844" s="106">
        <v>493170</v>
      </c>
    </row>
    <row r="3845" spans="1:3">
      <c r="A3845" s="102">
        <v>44079</v>
      </c>
      <c r="B3845" s="106">
        <v>0</v>
      </c>
      <c r="C3845" s="106">
        <v>493170</v>
      </c>
    </row>
    <row r="3846" spans="1:3">
      <c r="A3846" s="102">
        <v>44080</v>
      </c>
      <c r="B3846" s="106">
        <v>0</v>
      </c>
      <c r="C3846" s="106">
        <v>493170</v>
      </c>
    </row>
    <row r="3847" spans="1:3">
      <c r="A3847" s="102">
        <v>44081</v>
      </c>
      <c r="B3847" s="106">
        <v>0</v>
      </c>
      <c r="C3847" s="106">
        <v>477675</v>
      </c>
    </row>
    <row r="3848" spans="1:3">
      <c r="A3848" s="102">
        <v>44082</v>
      </c>
      <c r="B3848" s="106">
        <v>0</v>
      </c>
      <c r="C3848" s="106">
        <v>479245</v>
      </c>
    </row>
    <row r="3849" spans="1:3">
      <c r="A3849" s="102">
        <v>44083</v>
      </c>
      <c r="B3849" s="106">
        <v>0</v>
      </c>
      <c r="C3849" s="106">
        <v>477748</v>
      </c>
    </row>
    <row r="3850" spans="1:3">
      <c r="A3850" s="102">
        <v>44084</v>
      </c>
      <c r="B3850" s="106">
        <v>8</v>
      </c>
      <c r="C3850" s="106">
        <v>476921</v>
      </c>
    </row>
    <row r="3851" spans="1:3">
      <c r="A3851" s="102">
        <v>44085</v>
      </c>
      <c r="B3851" s="106">
        <v>0</v>
      </c>
      <c r="C3851" s="106">
        <v>500081</v>
      </c>
    </row>
    <row r="3852" spans="1:3">
      <c r="A3852" s="102">
        <v>44086</v>
      </c>
      <c r="B3852" s="106">
        <v>0</v>
      </c>
      <c r="C3852" s="106">
        <v>500081</v>
      </c>
    </row>
    <row r="3853" spans="1:3">
      <c r="A3853" s="102">
        <v>44087</v>
      </c>
      <c r="B3853" s="106">
        <v>0</v>
      </c>
      <c r="C3853" s="106">
        <v>500081</v>
      </c>
    </row>
    <row r="3854" spans="1:3">
      <c r="A3854" s="102">
        <v>44088</v>
      </c>
      <c r="B3854" s="106">
        <v>0</v>
      </c>
      <c r="C3854" s="106">
        <v>491268</v>
      </c>
    </row>
    <row r="3855" spans="1:3">
      <c r="A3855" s="102">
        <v>44089</v>
      </c>
      <c r="B3855" s="106">
        <v>0</v>
      </c>
      <c r="C3855" s="106">
        <v>490672</v>
      </c>
    </row>
    <row r="3856" spans="1:3">
      <c r="A3856" s="102">
        <v>44090</v>
      </c>
      <c r="B3856" s="106">
        <v>4</v>
      </c>
      <c r="C3856" s="106">
        <v>313722</v>
      </c>
    </row>
    <row r="3857" spans="1:3">
      <c r="A3857" s="102">
        <v>44091</v>
      </c>
      <c r="B3857" s="106">
        <v>0</v>
      </c>
      <c r="C3857" s="106">
        <v>336341</v>
      </c>
    </row>
    <row r="3858" spans="1:3">
      <c r="A3858" s="102">
        <v>44092</v>
      </c>
      <c r="B3858" s="106">
        <v>0</v>
      </c>
      <c r="C3858" s="106">
        <v>328774</v>
      </c>
    </row>
    <row r="3859" spans="1:3">
      <c r="A3859" s="102">
        <v>44093</v>
      </c>
      <c r="B3859" s="106">
        <v>0</v>
      </c>
      <c r="C3859" s="106">
        <v>328774</v>
      </c>
    </row>
    <row r="3860" spans="1:3">
      <c r="A3860" s="102">
        <v>44094</v>
      </c>
      <c r="B3860" s="106">
        <v>0</v>
      </c>
      <c r="C3860" s="106">
        <v>328774</v>
      </c>
    </row>
    <row r="3861" spans="1:3">
      <c r="A3861" s="102">
        <v>44095</v>
      </c>
      <c r="B3861" s="106">
        <v>0</v>
      </c>
      <c r="C3861" s="106">
        <v>328266</v>
      </c>
    </row>
    <row r="3862" spans="1:3">
      <c r="A3862" s="102">
        <v>44096</v>
      </c>
      <c r="B3862" s="106">
        <v>4</v>
      </c>
      <c r="C3862" s="106">
        <v>327238</v>
      </c>
    </row>
    <row r="3863" spans="1:3">
      <c r="A3863" s="102">
        <v>44097</v>
      </c>
      <c r="B3863" s="106">
        <v>0</v>
      </c>
      <c r="C3863" s="106">
        <v>335163</v>
      </c>
    </row>
    <row r="3864" spans="1:3">
      <c r="A3864" s="102">
        <v>44098</v>
      </c>
      <c r="B3864" s="106">
        <v>1</v>
      </c>
      <c r="C3864" s="106">
        <v>324978</v>
      </c>
    </row>
    <row r="3865" spans="1:3">
      <c r="A3865" s="102">
        <v>44099</v>
      </c>
      <c r="B3865" s="106">
        <v>0</v>
      </c>
      <c r="C3865" s="106">
        <v>333823</v>
      </c>
    </row>
    <row r="3866" spans="1:3">
      <c r="A3866" s="102">
        <v>44100</v>
      </c>
      <c r="B3866" s="106">
        <v>0</v>
      </c>
      <c r="C3866" s="106">
        <v>333823</v>
      </c>
    </row>
    <row r="3867" spans="1:3">
      <c r="A3867" s="102">
        <v>44101</v>
      </c>
      <c r="B3867" s="106">
        <v>0</v>
      </c>
      <c r="C3867" s="106">
        <v>333823</v>
      </c>
    </row>
    <row r="3868" spans="1:3">
      <c r="A3868" s="102">
        <v>44102</v>
      </c>
      <c r="B3868" s="106">
        <v>0</v>
      </c>
      <c r="C3868" s="106">
        <v>370228</v>
      </c>
    </row>
    <row r="3869" spans="1:3">
      <c r="A3869" s="102">
        <v>44103</v>
      </c>
      <c r="B3869" s="106">
        <v>1</v>
      </c>
      <c r="C3869" s="106">
        <v>347862</v>
      </c>
    </row>
    <row r="3870" spans="1:3">
      <c r="A3870" s="102">
        <v>44104</v>
      </c>
      <c r="B3870" s="106">
        <v>55</v>
      </c>
      <c r="C3870" s="106">
        <v>404584</v>
      </c>
    </row>
    <row r="3871" spans="1:3">
      <c r="A3871" s="102">
        <v>44105</v>
      </c>
      <c r="B3871" s="106">
        <v>0</v>
      </c>
      <c r="C3871" s="106">
        <v>461926</v>
      </c>
    </row>
    <row r="3872" spans="1:3">
      <c r="A3872" s="102">
        <v>44106</v>
      </c>
      <c r="B3872" s="106">
        <v>0</v>
      </c>
      <c r="C3872" s="106">
        <v>495354</v>
      </c>
    </row>
    <row r="3873" spans="1:3">
      <c r="A3873" s="102">
        <v>44107</v>
      </c>
      <c r="B3873" s="106">
        <v>0</v>
      </c>
      <c r="C3873" s="106">
        <v>495354</v>
      </c>
    </row>
    <row r="3874" spans="1:3">
      <c r="A3874" s="102">
        <v>44108</v>
      </c>
      <c r="B3874" s="106">
        <v>0</v>
      </c>
      <c r="C3874" s="106">
        <v>495354</v>
      </c>
    </row>
    <row r="3875" spans="1:3">
      <c r="A3875" s="102">
        <v>44109</v>
      </c>
      <c r="B3875" s="106">
        <v>0</v>
      </c>
      <c r="C3875" s="106">
        <v>539265</v>
      </c>
    </row>
    <row r="3876" spans="1:3">
      <c r="A3876" s="102">
        <v>44110</v>
      </c>
      <c r="B3876" s="106">
        <v>0</v>
      </c>
      <c r="C3876" s="106">
        <v>532280</v>
      </c>
    </row>
    <row r="3877" spans="1:3">
      <c r="A3877" s="102">
        <v>44111</v>
      </c>
      <c r="B3877" s="106">
        <v>0</v>
      </c>
      <c r="C3877" s="106">
        <v>529190</v>
      </c>
    </row>
    <row r="3878" spans="1:3">
      <c r="A3878" s="102">
        <v>44112</v>
      </c>
      <c r="B3878" s="106">
        <v>0</v>
      </c>
      <c r="C3878" s="106">
        <v>519929</v>
      </c>
    </row>
    <row r="3879" spans="1:3">
      <c r="A3879" s="102">
        <v>44113</v>
      </c>
      <c r="B3879" s="106">
        <v>0</v>
      </c>
      <c r="C3879" s="106">
        <v>550570</v>
      </c>
    </row>
    <row r="3880" spans="1:3">
      <c r="A3880" s="102">
        <v>44114</v>
      </c>
      <c r="B3880" s="106">
        <v>0</v>
      </c>
      <c r="C3880" s="106">
        <v>550570</v>
      </c>
    </row>
    <row r="3881" spans="1:3">
      <c r="A3881" s="102">
        <v>44115</v>
      </c>
      <c r="B3881" s="106">
        <v>0</v>
      </c>
      <c r="C3881" s="106">
        <v>550570</v>
      </c>
    </row>
    <row r="3882" spans="1:3">
      <c r="A3882" s="102">
        <v>44116</v>
      </c>
      <c r="B3882" s="106">
        <v>0</v>
      </c>
      <c r="C3882" s="106">
        <v>524313</v>
      </c>
    </row>
    <row r="3883" spans="1:3">
      <c r="A3883" s="102">
        <v>44117</v>
      </c>
      <c r="B3883" s="106">
        <v>0</v>
      </c>
      <c r="C3883" s="106">
        <v>550042</v>
      </c>
    </row>
    <row r="3884" spans="1:3">
      <c r="A3884" s="102">
        <v>44118</v>
      </c>
      <c r="B3884" s="106">
        <v>0</v>
      </c>
      <c r="C3884" s="106">
        <v>548970</v>
      </c>
    </row>
    <row r="3885" spans="1:3">
      <c r="A3885" s="102">
        <v>44119</v>
      </c>
      <c r="B3885" s="106">
        <v>0</v>
      </c>
      <c r="C3885" s="106">
        <v>508698</v>
      </c>
    </row>
    <row r="3886" spans="1:3">
      <c r="A3886" s="102">
        <v>44120</v>
      </c>
      <c r="B3886" s="106">
        <v>0</v>
      </c>
      <c r="C3886" s="106">
        <v>533956</v>
      </c>
    </row>
    <row r="3887" spans="1:3">
      <c r="A3887" s="102">
        <v>44121</v>
      </c>
      <c r="B3887" s="106">
        <v>0</v>
      </c>
      <c r="C3887" s="106">
        <v>533956</v>
      </c>
    </row>
    <row r="3888" spans="1:3">
      <c r="A3888" s="102">
        <v>44122</v>
      </c>
      <c r="B3888" s="106">
        <v>0</v>
      </c>
      <c r="C3888" s="106">
        <v>533956</v>
      </c>
    </row>
    <row r="3889" spans="1:3">
      <c r="A3889" s="102">
        <v>44123</v>
      </c>
      <c r="B3889" s="106">
        <v>0</v>
      </c>
      <c r="C3889" s="106">
        <v>543465</v>
      </c>
    </row>
    <row r="3890" spans="1:3">
      <c r="A3890" s="102">
        <v>44124</v>
      </c>
      <c r="B3890" s="106">
        <v>0</v>
      </c>
      <c r="C3890" s="106">
        <v>543556</v>
      </c>
    </row>
    <row r="3891" spans="1:3">
      <c r="A3891" s="102">
        <v>44125</v>
      </c>
      <c r="B3891" s="106">
        <v>0</v>
      </c>
      <c r="C3891" s="106">
        <v>510935</v>
      </c>
    </row>
    <row r="3892" spans="1:3">
      <c r="A3892" s="102">
        <v>44126</v>
      </c>
      <c r="B3892" s="106">
        <v>0</v>
      </c>
      <c r="C3892" s="106">
        <v>544070</v>
      </c>
    </row>
    <row r="3893" spans="1:3">
      <c r="A3893" s="102">
        <v>44127</v>
      </c>
      <c r="B3893" s="106">
        <v>0</v>
      </c>
      <c r="C3893" s="106">
        <v>118264</v>
      </c>
    </row>
    <row r="3894" spans="1:3">
      <c r="A3894" s="102">
        <v>44128</v>
      </c>
      <c r="B3894" s="106">
        <v>0</v>
      </c>
      <c r="C3894" s="106">
        <v>118264</v>
      </c>
    </row>
    <row r="3895" spans="1:3">
      <c r="A3895" s="102">
        <v>44129</v>
      </c>
      <c r="B3895" s="106">
        <v>0</v>
      </c>
      <c r="C3895" s="106">
        <v>118264</v>
      </c>
    </row>
    <row r="3896" spans="1:3">
      <c r="A3896" s="102">
        <v>44130</v>
      </c>
      <c r="B3896" s="106">
        <v>0</v>
      </c>
      <c r="C3896" s="106">
        <v>593409</v>
      </c>
    </row>
    <row r="3897" spans="1:3">
      <c r="A3897" s="102">
        <v>44131</v>
      </c>
      <c r="B3897" s="106">
        <v>0</v>
      </c>
      <c r="C3897" s="106">
        <v>603631</v>
      </c>
    </row>
    <row r="3898" spans="1:3">
      <c r="A3898" s="102">
        <v>44132</v>
      </c>
      <c r="B3898" s="106">
        <v>2</v>
      </c>
      <c r="C3898" s="106">
        <v>601196</v>
      </c>
    </row>
    <row r="3899" spans="1:3">
      <c r="A3899" s="102">
        <v>44133</v>
      </c>
      <c r="B3899" s="106">
        <v>1</v>
      </c>
      <c r="C3899" s="106">
        <v>596083</v>
      </c>
    </row>
    <row r="3900" spans="1:3">
      <c r="A3900" s="102">
        <v>44134</v>
      </c>
      <c r="B3900" s="106">
        <v>20</v>
      </c>
      <c r="C3900" s="106">
        <v>620202</v>
      </c>
    </row>
    <row r="3901" spans="1:3">
      <c r="A3901" s="102">
        <v>44135</v>
      </c>
      <c r="B3901" s="106">
        <v>20</v>
      </c>
      <c r="C3901" s="106">
        <v>620202</v>
      </c>
    </row>
    <row r="3902" spans="1:3">
      <c r="A3902" s="102">
        <v>44136</v>
      </c>
      <c r="B3902" s="106">
        <v>20</v>
      </c>
      <c r="C3902" s="106">
        <v>620202</v>
      </c>
    </row>
    <row r="3903" spans="1:3">
      <c r="A3903" s="102">
        <v>44137</v>
      </c>
      <c r="B3903" s="106">
        <v>0</v>
      </c>
      <c r="C3903" s="106">
        <v>644254</v>
      </c>
    </row>
    <row r="3904" spans="1:3">
      <c r="A3904" s="102">
        <v>44138</v>
      </c>
      <c r="B3904" s="106">
        <v>0</v>
      </c>
      <c r="C3904" s="106">
        <v>646784</v>
      </c>
    </row>
    <row r="3905" spans="1:3">
      <c r="A3905" s="102">
        <v>44139</v>
      </c>
      <c r="B3905" s="106">
        <v>0</v>
      </c>
      <c r="C3905" s="106">
        <v>432459</v>
      </c>
    </row>
    <row r="3906" spans="1:3">
      <c r="A3906" s="102">
        <v>44140</v>
      </c>
      <c r="B3906" s="106">
        <v>0</v>
      </c>
      <c r="C3906" s="106">
        <v>436777</v>
      </c>
    </row>
    <row r="3907" spans="1:3">
      <c r="A3907" s="102">
        <v>44141</v>
      </c>
      <c r="B3907" s="106">
        <v>4</v>
      </c>
      <c r="C3907" s="106">
        <v>441049</v>
      </c>
    </row>
    <row r="3908" spans="1:3">
      <c r="A3908" s="102">
        <v>44142</v>
      </c>
      <c r="B3908" s="106">
        <v>4</v>
      </c>
      <c r="C3908" s="106">
        <v>441049</v>
      </c>
    </row>
    <row r="3909" spans="1:3">
      <c r="A3909" s="102">
        <v>44143</v>
      </c>
      <c r="B3909" s="106">
        <v>4</v>
      </c>
      <c r="C3909" s="106">
        <v>441049</v>
      </c>
    </row>
    <row r="3910" spans="1:3">
      <c r="A3910" s="102">
        <v>44144</v>
      </c>
      <c r="B3910" s="106">
        <v>1</v>
      </c>
      <c r="C3910" s="106">
        <v>447391</v>
      </c>
    </row>
    <row r="3911" spans="1:3">
      <c r="A3911" s="102">
        <v>44145</v>
      </c>
      <c r="B3911" s="106">
        <v>1</v>
      </c>
      <c r="C3911" s="106">
        <v>447894</v>
      </c>
    </row>
    <row r="3912" spans="1:3">
      <c r="A3912" s="102">
        <v>44146</v>
      </c>
      <c r="B3912" s="106">
        <v>0</v>
      </c>
      <c r="C3912" s="106">
        <v>447680</v>
      </c>
    </row>
    <row r="3913" spans="1:3">
      <c r="A3913" s="102">
        <v>44147</v>
      </c>
      <c r="B3913" s="106">
        <v>0</v>
      </c>
      <c r="C3913" s="106">
        <v>446791</v>
      </c>
    </row>
    <row r="3914" spans="1:3">
      <c r="A3914" s="102">
        <v>44148</v>
      </c>
      <c r="B3914" s="106">
        <v>0</v>
      </c>
      <c r="C3914" s="106">
        <v>470876</v>
      </c>
    </row>
    <row r="3915" spans="1:3">
      <c r="A3915" s="102">
        <v>44149</v>
      </c>
      <c r="B3915" s="106">
        <v>0</v>
      </c>
      <c r="C3915" s="106">
        <v>470876</v>
      </c>
    </row>
    <row r="3916" spans="1:3">
      <c r="A3916" s="102">
        <v>44150</v>
      </c>
      <c r="B3916" s="106">
        <v>0</v>
      </c>
      <c r="C3916" s="106">
        <v>470876</v>
      </c>
    </row>
    <row r="3917" spans="1:3">
      <c r="A3917" s="102">
        <v>44151</v>
      </c>
      <c r="B3917" s="106">
        <v>127</v>
      </c>
      <c r="C3917" s="106">
        <v>483654</v>
      </c>
    </row>
    <row r="3918" spans="1:3">
      <c r="A3918" s="102">
        <v>44152</v>
      </c>
      <c r="B3918" s="106">
        <v>0</v>
      </c>
      <c r="C3918" s="106">
        <v>531916</v>
      </c>
    </row>
    <row r="3919" spans="1:3">
      <c r="A3919" s="102">
        <v>44153</v>
      </c>
      <c r="B3919" s="106">
        <v>435</v>
      </c>
      <c r="C3919" s="106">
        <v>542686</v>
      </c>
    </row>
    <row r="3920" spans="1:3">
      <c r="A3920" s="102">
        <v>44154</v>
      </c>
      <c r="B3920" s="106">
        <v>19</v>
      </c>
      <c r="C3920" s="106">
        <v>539054</v>
      </c>
    </row>
    <row r="3921" spans="1:3">
      <c r="A3921" s="102">
        <v>44155</v>
      </c>
      <c r="B3921" s="106">
        <v>0</v>
      </c>
      <c r="C3921" s="106">
        <v>545329</v>
      </c>
    </row>
    <row r="3922" spans="1:3">
      <c r="A3922" s="102">
        <v>44156</v>
      </c>
      <c r="B3922" s="106">
        <v>0</v>
      </c>
      <c r="C3922" s="106">
        <v>545329</v>
      </c>
    </row>
    <row r="3923" spans="1:3">
      <c r="A3923" s="102">
        <v>44157</v>
      </c>
      <c r="B3923" s="106">
        <v>0</v>
      </c>
      <c r="C3923" s="106">
        <v>545329</v>
      </c>
    </row>
    <row r="3924" spans="1:3">
      <c r="A3924" s="102">
        <v>44158</v>
      </c>
      <c r="B3924" s="106">
        <v>68</v>
      </c>
      <c r="C3924" s="106">
        <v>537333</v>
      </c>
    </row>
    <row r="3925" spans="1:3">
      <c r="A3925" s="102">
        <v>44159</v>
      </c>
      <c r="B3925" s="106">
        <v>0</v>
      </c>
      <c r="C3925" s="106">
        <v>538589</v>
      </c>
    </row>
    <row r="3926" spans="1:3">
      <c r="A3926" s="102">
        <v>44160</v>
      </c>
      <c r="B3926" s="106">
        <v>1</v>
      </c>
      <c r="C3926" s="106">
        <v>557803</v>
      </c>
    </row>
    <row r="3927" spans="1:3">
      <c r="A3927" s="102">
        <v>44161</v>
      </c>
      <c r="B3927" s="106">
        <v>0</v>
      </c>
      <c r="C3927" s="106">
        <v>563149</v>
      </c>
    </row>
    <row r="3928" spans="1:3">
      <c r="A3928" s="102">
        <v>44162</v>
      </c>
      <c r="B3928" s="106">
        <v>0</v>
      </c>
      <c r="C3928" s="106">
        <v>567695</v>
      </c>
    </row>
    <row r="3929" spans="1:3">
      <c r="A3929" s="102">
        <v>44163</v>
      </c>
      <c r="B3929" s="106">
        <v>0</v>
      </c>
      <c r="C3929" s="106">
        <v>567695</v>
      </c>
    </row>
    <row r="3930" spans="1:3">
      <c r="A3930" s="102">
        <v>44164</v>
      </c>
      <c r="B3930" s="106">
        <v>0</v>
      </c>
      <c r="C3930" s="106">
        <v>567695</v>
      </c>
    </row>
    <row r="3931" spans="1:3">
      <c r="A3931" s="102">
        <v>44165</v>
      </c>
      <c r="B3931" s="106">
        <v>15</v>
      </c>
      <c r="C3931" s="106">
        <v>594088</v>
      </c>
    </row>
    <row r="3932" spans="1:3">
      <c r="A3932" s="102">
        <v>44166</v>
      </c>
      <c r="B3932" s="106">
        <v>34</v>
      </c>
      <c r="C3932" s="106">
        <v>592096</v>
      </c>
    </row>
    <row r="3933" spans="1:3">
      <c r="A3933" s="102">
        <v>44167</v>
      </c>
      <c r="B3933" s="106">
        <v>45</v>
      </c>
      <c r="C3933" s="106">
        <v>608137</v>
      </c>
    </row>
    <row r="3934" spans="1:3">
      <c r="A3934" s="102">
        <v>44168</v>
      </c>
      <c r="B3934" s="106">
        <v>3</v>
      </c>
      <c r="C3934" s="106">
        <v>590695</v>
      </c>
    </row>
    <row r="3935" spans="1:3">
      <c r="A3935" s="102">
        <v>44169</v>
      </c>
      <c r="B3935" s="106">
        <v>41</v>
      </c>
      <c r="C3935" s="106">
        <v>596651</v>
      </c>
    </row>
    <row r="3936" spans="1:3">
      <c r="A3936" s="102">
        <v>44170</v>
      </c>
      <c r="B3936" s="106">
        <v>41</v>
      </c>
      <c r="C3936" s="106">
        <v>596651</v>
      </c>
    </row>
    <row r="3937" spans="1:3">
      <c r="A3937" s="102">
        <v>44171</v>
      </c>
      <c r="B3937" s="106">
        <v>41</v>
      </c>
      <c r="C3937" s="106">
        <v>596651</v>
      </c>
    </row>
    <row r="3938" spans="1:3">
      <c r="A3938" s="102">
        <v>44172</v>
      </c>
      <c r="B3938" s="106">
        <v>0</v>
      </c>
      <c r="C3938" s="106">
        <v>591425</v>
      </c>
    </row>
    <row r="3939" spans="1:3">
      <c r="A3939" s="102">
        <v>44173</v>
      </c>
      <c r="B3939" s="106">
        <v>0</v>
      </c>
      <c r="C3939" s="106">
        <v>598661</v>
      </c>
    </row>
    <row r="3940" spans="1:3">
      <c r="A3940" s="102">
        <v>44174</v>
      </c>
      <c r="B3940" s="106">
        <v>1</v>
      </c>
      <c r="C3940" s="106">
        <v>605294</v>
      </c>
    </row>
    <row r="3941" spans="1:3">
      <c r="A3941" s="102">
        <v>44175</v>
      </c>
      <c r="B3941" s="106">
        <v>0</v>
      </c>
      <c r="C3941" s="106">
        <v>595380</v>
      </c>
    </row>
    <row r="3942" spans="1:3">
      <c r="A3942" s="102">
        <v>44176</v>
      </c>
      <c r="B3942" s="106">
        <v>0</v>
      </c>
      <c r="C3942" s="106">
        <v>571791</v>
      </c>
    </row>
    <row r="3943" spans="1:3">
      <c r="A3943" s="102">
        <v>44177</v>
      </c>
      <c r="B3943" s="106">
        <v>0</v>
      </c>
      <c r="C3943" s="106">
        <v>571791</v>
      </c>
    </row>
    <row r="3944" spans="1:3">
      <c r="A3944" s="102">
        <v>44178</v>
      </c>
      <c r="B3944" s="106">
        <v>0</v>
      </c>
      <c r="C3944" s="106">
        <v>571791</v>
      </c>
    </row>
    <row r="3945" spans="1:3">
      <c r="A3945" s="102">
        <v>44179</v>
      </c>
      <c r="B3945" s="106">
        <v>0</v>
      </c>
      <c r="C3945" s="106">
        <v>591532</v>
      </c>
    </row>
    <row r="3946" spans="1:3">
      <c r="A3946" s="102">
        <v>44180</v>
      </c>
      <c r="B3946" s="106">
        <v>0</v>
      </c>
      <c r="C3946" s="106">
        <v>585835</v>
      </c>
    </row>
    <row r="3947" spans="1:3">
      <c r="A3947" s="102">
        <v>44181</v>
      </c>
      <c r="B3947" s="106">
        <v>5</v>
      </c>
      <c r="C3947" s="106">
        <v>531874</v>
      </c>
    </row>
    <row r="3948" spans="1:3">
      <c r="A3948" s="102">
        <v>44182</v>
      </c>
      <c r="B3948" s="106">
        <v>5</v>
      </c>
      <c r="C3948" s="106">
        <v>557639</v>
      </c>
    </row>
    <row r="3949" spans="1:3">
      <c r="A3949" s="102">
        <v>44183</v>
      </c>
      <c r="B3949" s="106">
        <v>5</v>
      </c>
      <c r="C3949" s="106">
        <v>563718</v>
      </c>
    </row>
    <row r="3950" spans="1:3">
      <c r="A3950" s="102">
        <v>44184</v>
      </c>
      <c r="B3950" s="106">
        <v>5</v>
      </c>
      <c r="C3950" s="106">
        <v>563718</v>
      </c>
    </row>
    <row r="3951" spans="1:3">
      <c r="A3951" s="102">
        <v>44185</v>
      </c>
      <c r="B3951" s="106">
        <v>5</v>
      </c>
      <c r="C3951" s="106">
        <v>563718</v>
      </c>
    </row>
    <row r="3952" spans="1:3">
      <c r="A3952" s="102">
        <v>44186</v>
      </c>
      <c r="B3952" s="106">
        <v>4</v>
      </c>
      <c r="C3952" s="106">
        <v>555068</v>
      </c>
    </row>
    <row r="3953" spans="1:3">
      <c r="A3953" s="102">
        <v>44187</v>
      </c>
      <c r="B3953" s="106">
        <v>1</v>
      </c>
      <c r="C3953" s="106">
        <v>601431</v>
      </c>
    </row>
    <row r="3954" spans="1:3">
      <c r="A3954" s="102">
        <v>44188</v>
      </c>
      <c r="B3954" s="106">
        <v>1</v>
      </c>
      <c r="C3954" s="106">
        <v>596155</v>
      </c>
    </row>
    <row r="3955" spans="1:3">
      <c r="A3955" s="102">
        <v>44189</v>
      </c>
      <c r="B3955" s="106">
        <v>3</v>
      </c>
      <c r="C3955" s="106">
        <v>591423</v>
      </c>
    </row>
    <row r="3956" spans="1:3">
      <c r="A3956" s="102">
        <v>44190</v>
      </c>
      <c r="B3956" s="106">
        <v>3</v>
      </c>
      <c r="C3956" s="106">
        <v>591423</v>
      </c>
    </row>
    <row r="3957" spans="1:3">
      <c r="A3957" s="102">
        <v>44191</v>
      </c>
      <c r="B3957" s="106">
        <v>3</v>
      </c>
      <c r="C3957" s="106">
        <v>591423</v>
      </c>
    </row>
    <row r="3958" spans="1:3">
      <c r="A3958" s="102">
        <v>44192</v>
      </c>
      <c r="B3958" s="106">
        <v>3</v>
      </c>
      <c r="C3958" s="106">
        <v>591423</v>
      </c>
    </row>
    <row r="3959" spans="1:3">
      <c r="A3959" s="102">
        <v>44193</v>
      </c>
      <c r="B3959" s="106">
        <v>0</v>
      </c>
      <c r="C3959" s="106">
        <v>645399</v>
      </c>
    </row>
    <row r="3960" spans="1:3">
      <c r="A3960" s="102">
        <v>44194</v>
      </c>
      <c r="B3960" s="106">
        <v>44</v>
      </c>
      <c r="C3960" s="106">
        <v>647590</v>
      </c>
    </row>
    <row r="3961" spans="1:3">
      <c r="A3961" s="102">
        <v>44195</v>
      </c>
      <c r="B3961" s="106">
        <v>83</v>
      </c>
      <c r="C3961" s="106">
        <v>662938</v>
      </c>
    </row>
    <row r="3962" spans="1:3">
      <c r="A3962" s="102">
        <v>44196</v>
      </c>
      <c r="B3962" s="106">
        <v>152</v>
      </c>
      <c r="C3962" s="106">
        <v>683863</v>
      </c>
    </row>
    <row r="3963" spans="1:3">
      <c r="A3963" s="102">
        <v>44197</v>
      </c>
      <c r="B3963" s="106">
        <v>152</v>
      </c>
      <c r="C3963" s="106">
        <v>683863</v>
      </c>
    </row>
    <row r="3964" spans="1:3">
      <c r="A3964" s="102">
        <v>44198</v>
      </c>
      <c r="B3964" s="106">
        <v>152</v>
      </c>
      <c r="C3964" s="106">
        <v>683863</v>
      </c>
    </row>
    <row r="3965" spans="1:3">
      <c r="A3965" s="102">
        <v>44199</v>
      </c>
      <c r="B3965" s="106">
        <v>152</v>
      </c>
      <c r="C3965" s="106">
        <v>683863</v>
      </c>
    </row>
    <row r="3966" spans="1:3">
      <c r="A3966" s="102">
        <v>44200</v>
      </c>
      <c r="B3966" s="106">
        <v>0</v>
      </c>
      <c r="C3966" s="106">
        <v>554273</v>
      </c>
    </row>
    <row r="3967" spans="1:3">
      <c r="A3967" s="102">
        <v>44201</v>
      </c>
      <c r="B3967" s="106">
        <v>0</v>
      </c>
      <c r="C3967" s="106">
        <v>554005</v>
      </c>
    </row>
    <row r="3968" spans="1:3">
      <c r="A3968" s="102">
        <v>44202</v>
      </c>
      <c r="B3968" s="106">
        <v>2</v>
      </c>
      <c r="C3968" s="106">
        <v>547680</v>
      </c>
    </row>
    <row r="3969" spans="1:3">
      <c r="A3969" s="102">
        <v>44203</v>
      </c>
      <c r="B3969" s="106">
        <v>0</v>
      </c>
      <c r="C3969" s="106">
        <v>543531</v>
      </c>
    </row>
    <row r="3970" spans="1:3">
      <c r="A3970" s="102">
        <v>44204</v>
      </c>
      <c r="B3970" s="106">
        <v>0</v>
      </c>
      <c r="C3970" s="106">
        <v>547349</v>
      </c>
    </row>
    <row r="3971" spans="1:3">
      <c r="A3971" s="102">
        <v>44205</v>
      </c>
      <c r="B3971" s="106">
        <v>0</v>
      </c>
      <c r="C3971" s="106">
        <v>547349</v>
      </c>
    </row>
    <row r="3972" spans="1:3">
      <c r="A3972" s="102">
        <v>44206</v>
      </c>
      <c r="B3972" s="106">
        <v>0</v>
      </c>
      <c r="C3972" s="106">
        <v>547349</v>
      </c>
    </row>
    <row r="3973" spans="1:3">
      <c r="A3973" s="102">
        <v>44207</v>
      </c>
      <c r="B3973" s="106">
        <v>0</v>
      </c>
      <c r="C3973" s="106">
        <v>537296</v>
      </c>
    </row>
    <row r="3974" spans="1:3">
      <c r="A3974" s="102">
        <v>44208</v>
      </c>
      <c r="B3974" s="106">
        <v>0</v>
      </c>
      <c r="C3974" s="106">
        <v>541983</v>
      </c>
    </row>
    <row r="3975" spans="1:3">
      <c r="A3975" s="102">
        <v>44209</v>
      </c>
      <c r="B3975" s="106">
        <v>0</v>
      </c>
      <c r="C3975" s="106">
        <v>543346</v>
      </c>
    </row>
    <row r="3976" spans="1:3">
      <c r="A3976" s="102">
        <v>44210</v>
      </c>
      <c r="B3976" s="106">
        <v>0</v>
      </c>
      <c r="C3976" s="106">
        <v>557457</v>
      </c>
    </row>
    <row r="3977" spans="1:3">
      <c r="A3977" s="102">
        <v>44211</v>
      </c>
      <c r="B3977" s="106">
        <v>0</v>
      </c>
      <c r="C3977" s="106">
        <v>558496</v>
      </c>
    </row>
    <row r="3978" spans="1:3">
      <c r="A3978" s="102">
        <v>44212</v>
      </c>
      <c r="B3978" s="106">
        <v>0</v>
      </c>
      <c r="C3978" s="106">
        <v>558496</v>
      </c>
    </row>
    <row r="3979" spans="1:3">
      <c r="A3979" s="102">
        <v>44213</v>
      </c>
      <c r="B3979" s="106">
        <v>0</v>
      </c>
      <c r="C3979" s="106">
        <v>558496</v>
      </c>
    </row>
    <row r="3980" spans="1:3">
      <c r="A3980" s="102">
        <v>44214</v>
      </c>
      <c r="B3980" s="106">
        <v>0</v>
      </c>
      <c r="C3980" s="106">
        <v>559140</v>
      </c>
    </row>
    <row r="3981" spans="1:3">
      <c r="A3981" s="102">
        <v>44215</v>
      </c>
      <c r="B3981" s="106">
        <v>5</v>
      </c>
      <c r="C3981" s="106">
        <v>572853</v>
      </c>
    </row>
    <row r="3982" spans="1:3">
      <c r="A3982" s="102">
        <v>44216</v>
      </c>
      <c r="B3982" s="106">
        <v>0</v>
      </c>
      <c r="C3982" s="106">
        <v>565571</v>
      </c>
    </row>
    <row r="3983" spans="1:3">
      <c r="A3983" s="102">
        <v>44217</v>
      </c>
      <c r="B3983" s="106">
        <v>0</v>
      </c>
      <c r="C3983" s="106">
        <v>568784</v>
      </c>
    </row>
    <row r="3984" spans="1:3">
      <c r="A3984" s="102">
        <v>44218</v>
      </c>
      <c r="B3984" s="106">
        <v>0</v>
      </c>
      <c r="C3984" s="106">
        <v>620681</v>
      </c>
    </row>
    <row r="3985" spans="1:3">
      <c r="A3985" s="102">
        <v>44219</v>
      </c>
      <c r="B3985" s="106">
        <v>0</v>
      </c>
      <c r="C3985" s="106">
        <v>620681</v>
      </c>
    </row>
    <row r="3986" spans="1:3">
      <c r="A3986" s="102">
        <v>44220</v>
      </c>
      <c r="B3986" s="106">
        <v>0</v>
      </c>
      <c r="C3986" s="106">
        <v>620681</v>
      </c>
    </row>
    <row r="3987" spans="1:3">
      <c r="A3987" s="102">
        <v>44221</v>
      </c>
      <c r="B3987" s="106">
        <v>0</v>
      </c>
      <c r="C3987" s="106">
        <v>618523</v>
      </c>
    </row>
    <row r="3988" spans="1:3">
      <c r="A3988" s="102">
        <v>44222</v>
      </c>
      <c r="B3988" s="106">
        <v>0</v>
      </c>
      <c r="C3988" s="106">
        <v>613907</v>
      </c>
    </row>
    <row r="3989" spans="1:3">
      <c r="A3989" s="102">
        <v>44223</v>
      </c>
      <c r="B3989" s="106">
        <v>0</v>
      </c>
      <c r="C3989" s="106">
        <v>449300</v>
      </c>
    </row>
    <row r="3990" spans="1:3">
      <c r="A3990" s="102">
        <v>44224</v>
      </c>
      <c r="B3990" s="106">
        <v>0</v>
      </c>
      <c r="C3990" s="106">
        <v>446204</v>
      </c>
    </row>
    <row r="3991" spans="1:3">
      <c r="A3991" s="102">
        <v>44225</v>
      </c>
      <c r="B3991" s="106">
        <v>0</v>
      </c>
      <c r="C3991" s="106">
        <v>456424</v>
      </c>
    </row>
    <row r="3992" spans="1:3">
      <c r="A3992" s="102">
        <v>44226</v>
      </c>
      <c r="B3992" s="106">
        <v>0</v>
      </c>
      <c r="C3992" s="106">
        <v>456424</v>
      </c>
    </row>
    <row r="3993" spans="1:3">
      <c r="A3993" s="102">
        <v>44227</v>
      </c>
      <c r="B3993" s="106">
        <v>0</v>
      </c>
      <c r="C3993" s="106">
        <v>456424</v>
      </c>
    </row>
    <row r="3994" spans="1:3">
      <c r="A3994" s="102">
        <v>44228</v>
      </c>
      <c r="B3994" s="106">
        <v>0</v>
      </c>
      <c r="C3994" s="106">
        <v>481933</v>
      </c>
    </row>
    <row r="3995" spans="1:3">
      <c r="A3995" s="102">
        <v>44229</v>
      </c>
      <c r="B3995" s="106">
        <v>0</v>
      </c>
      <c r="C3995" s="106">
        <v>481098</v>
      </c>
    </row>
    <row r="3996" spans="1:3">
      <c r="A3996" s="102">
        <v>44230</v>
      </c>
      <c r="B3996" s="106">
        <v>0</v>
      </c>
      <c r="C3996" s="106">
        <v>478858</v>
      </c>
    </row>
    <row r="3997" spans="1:3">
      <c r="A3997" s="102">
        <v>44231</v>
      </c>
      <c r="B3997" s="106">
        <v>879</v>
      </c>
      <c r="C3997" s="106">
        <v>475147</v>
      </c>
    </row>
    <row r="3998" spans="1:3">
      <c r="A3998" s="102">
        <v>44232</v>
      </c>
      <c r="B3998" s="106">
        <v>0</v>
      </c>
      <c r="C3998" s="106">
        <v>525841</v>
      </c>
    </row>
    <row r="3999" spans="1:3">
      <c r="A3999" s="102">
        <v>44233</v>
      </c>
      <c r="B3999" s="106">
        <v>0</v>
      </c>
      <c r="C3999" s="106">
        <v>525841</v>
      </c>
    </row>
    <row r="4000" spans="1:3">
      <c r="A4000" s="102">
        <v>44234</v>
      </c>
      <c r="B4000" s="106">
        <v>0</v>
      </c>
      <c r="C4000" s="106">
        <v>525841</v>
      </c>
    </row>
    <row r="4001" spans="1:3">
      <c r="A4001" s="102">
        <v>44235</v>
      </c>
      <c r="B4001" s="106">
        <v>0</v>
      </c>
      <c r="C4001" s="106">
        <v>566465</v>
      </c>
    </row>
    <row r="4002" spans="1:3">
      <c r="A4002" s="102">
        <v>44236</v>
      </c>
      <c r="B4002" s="106">
        <v>0</v>
      </c>
      <c r="C4002" s="106">
        <v>565543</v>
      </c>
    </row>
    <row r="4003" spans="1:3">
      <c r="A4003" s="102">
        <v>44237</v>
      </c>
      <c r="B4003" s="106">
        <v>0</v>
      </c>
      <c r="C4003" s="106">
        <v>624030</v>
      </c>
    </row>
    <row r="4004" spans="1:3">
      <c r="A4004" s="102">
        <v>44238</v>
      </c>
      <c r="B4004" s="106">
        <v>21</v>
      </c>
      <c r="C4004" s="106">
        <v>615119</v>
      </c>
    </row>
    <row r="4005" spans="1:3">
      <c r="A4005" s="102">
        <v>44239</v>
      </c>
      <c r="B4005" s="106">
        <v>0</v>
      </c>
      <c r="C4005" s="106">
        <v>623706</v>
      </c>
    </row>
    <row r="4006" spans="1:3">
      <c r="A4006" s="102">
        <v>44240</v>
      </c>
      <c r="B4006" s="106">
        <v>0</v>
      </c>
      <c r="C4006" s="106">
        <v>623706</v>
      </c>
    </row>
    <row r="4007" spans="1:3">
      <c r="A4007" s="102">
        <v>44241</v>
      </c>
      <c r="B4007" s="106">
        <v>0</v>
      </c>
      <c r="C4007" s="106">
        <v>623706</v>
      </c>
    </row>
    <row r="4008" spans="1:3">
      <c r="A4008" s="102">
        <v>44242</v>
      </c>
      <c r="B4008" s="106">
        <v>0</v>
      </c>
      <c r="C4008" s="106">
        <v>609184</v>
      </c>
    </row>
    <row r="4009" spans="1:3">
      <c r="A4009" s="102">
        <v>44243</v>
      </c>
      <c r="B4009" s="106">
        <v>0</v>
      </c>
      <c r="C4009" s="106">
        <v>612854</v>
      </c>
    </row>
    <row r="4010" spans="1:3">
      <c r="A4010" s="102">
        <v>44244</v>
      </c>
      <c r="B4010" s="106">
        <v>0</v>
      </c>
      <c r="C4010" s="106">
        <v>612456</v>
      </c>
    </row>
    <row r="4011" spans="1:3">
      <c r="A4011" s="102">
        <v>44245</v>
      </c>
      <c r="B4011" s="106">
        <v>0</v>
      </c>
      <c r="C4011" s="106">
        <v>616736</v>
      </c>
    </row>
    <row r="4012" spans="1:3">
      <c r="A4012" s="102">
        <v>44246</v>
      </c>
      <c r="B4012" s="106">
        <v>0</v>
      </c>
      <c r="C4012" s="106">
        <v>617741</v>
      </c>
    </row>
    <row r="4013" spans="1:3">
      <c r="A4013" s="102">
        <v>44247</v>
      </c>
      <c r="B4013" s="106">
        <v>0</v>
      </c>
      <c r="C4013" s="106">
        <v>617741</v>
      </c>
    </row>
    <row r="4014" spans="1:3">
      <c r="A4014" s="102">
        <v>44248</v>
      </c>
      <c r="B4014" s="106">
        <v>0</v>
      </c>
      <c r="C4014" s="106">
        <v>617741</v>
      </c>
    </row>
    <row r="4015" spans="1:3">
      <c r="A4015" s="102">
        <v>44249</v>
      </c>
      <c r="B4015" s="106">
        <v>0</v>
      </c>
      <c r="C4015" s="106">
        <v>628901</v>
      </c>
    </row>
    <row r="4016" spans="1:3">
      <c r="A4016" s="102">
        <v>44250</v>
      </c>
      <c r="B4016" s="106">
        <v>0</v>
      </c>
      <c r="C4016" s="106">
        <v>631205</v>
      </c>
    </row>
    <row r="4017" spans="1:3">
      <c r="A4017" s="102">
        <v>44251</v>
      </c>
      <c r="B4017" s="106">
        <v>0</v>
      </c>
      <c r="C4017" s="106">
        <v>620176</v>
      </c>
    </row>
    <row r="4018" spans="1:3">
      <c r="A4018" s="102">
        <v>44252</v>
      </c>
      <c r="B4018" s="106">
        <v>0</v>
      </c>
      <c r="C4018" s="106">
        <v>622120</v>
      </c>
    </row>
    <row r="4019" spans="1:3">
      <c r="A4019" s="102">
        <v>44253</v>
      </c>
      <c r="B4019" s="106">
        <v>0</v>
      </c>
      <c r="C4019" s="106">
        <v>645560</v>
      </c>
    </row>
    <row r="4020" spans="1:3">
      <c r="A4020" s="102">
        <v>44254</v>
      </c>
      <c r="B4020" s="106">
        <v>0</v>
      </c>
      <c r="C4020" s="106">
        <v>645560</v>
      </c>
    </row>
    <row r="4021" spans="1:3">
      <c r="A4021" s="102">
        <v>44255</v>
      </c>
      <c r="B4021" s="106">
        <v>0</v>
      </c>
      <c r="C4021" s="106">
        <v>645560</v>
      </c>
    </row>
    <row r="4022" spans="1:3">
      <c r="A4022" s="102">
        <v>44256</v>
      </c>
      <c r="B4022" s="106">
        <v>0</v>
      </c>
      <c r="C4022" s="106">
        <v>652923</v>
      </c>
    </row>
    <row r="4023" spans="1:3">
      <c r="A4023" s="102">
        <v>44257</v>
      </c>
      <c r="B4023" s="106">
        <v>1</v>
      </c>
      <c r="C4023" s="106">
        <v>665979</v>
      </c>
    </row>
    <row r="4024" spans="1:3">
      <c r="A4024" s="102">
        <v>44258</v>
      </c>
      <c r="B4024" s="106">
        <v>0</v>
      </c>
      <c r="C4024" s="106">
        <v>665917</v>
      </c>
    </row>
    <row r="4025" spans="1:3">
      <c r="A4025" s="102">
        <v>44259</v>
      </c>
      <c r="B4025" s="106">
        <v>1</v>
      </c>
      <c r="C4025" s="106">
        <v>661544</v>
      </c>
    </row>
    <row r="4026" spans="1:3">
      <c r="A4026" s="102">
        <v>44260</v>
      </c>
      <c r="B4026" s="106">
        <v>3</v>
      </c>
      <c r="C4026" s="106">
        <v>655294</v>
      </c>
    </row>
    <row r="4027" spans="1:3">
      <c r="A4027" s="102">
        <v>44261</v>
      </c>
      <c r="B4027" s="106">
        <v>3</v>
      </c>
      <c r="C4027" s="106">
        <v>655294</v>
      </c>
    </row>
    <row r="4028" spans="1:3">
      <c r="A4028" s="102">
        <v>44262</v>
      </c>
      <c r="B4028" s="106">
        <v>3</v>
      </c>
      <c r="C4028" s="106">
        <v>655294</v>
      </c>
    </row>
    <row r="4029" spans="1:3">
      <c r="A4029" s="102">
        <v>44263</v>
      </c>
      <c r="B4029" s="106">
        <v>0</v>
      </c>
      <c r="C4029" s="106">
        <v>660933</v>
      </c>
    </row>
    <row r="4030" spans="1:3">
      <c r="A4030" s="102">
        <v>44264</v>
      </c>
      <c r="B4030" s="106">
        <v>0</v>
      </c>
      <c r="C4030" s="106">
        <v>659981</v>
      </c>
    </row>
    <row r="4031" spans="1:3">
      <c r="A4031" s="102">
        <v>44265</v>
      </c>
      <c r="B4031" s="106">
        <v>0</v>
      </c>
      <c r="C4031" s="106">
        <v>650935</v>
      </c>
    </row>
    <row r="4032" spans="1:3">
      <c r="A4032" s="102">
        <v>44266</v>
      </c>
      <c r="B4032" s="106">
        <v>0</v>
      </c>
      <c r="C4032" s="106">
        <v>660054</v>
      </c>
    </row>
    <row r="4033" spans="1:3">
      <c r="A4033" s="102">
        <v>44267</v>
      </c>
      <c r="B4033" s="106">
        <v>0</v>
      </c>
      <c r="C4033" s="106">
        <v>656802</v>
      </c>
    </row>
    <row r="4034" spans="1:3">
      <c r="A4034" s="102">
        <v>44268</v>
      </c>
      <c r="B4034" s="106">
        <v>0</v>
      </c>
      <c r="C4034" s="106">
        <v>656802</v>
      </c>
    </row>
    <row r="4035" spans="1:3">
      <c r="A4035" s="102">
        <v>44269</v>
      </c>
      <c r="B4035" s="106">
        <v>0</v>
      </c>
      <c r="C4035" s="106">
        <v>656802</v>
      </c>
    </row>
    <row r="4036" spans="1:3">
      <c r="A4036" s="102">
        <v>44270</v>
      </c>
      <c r="B4036" s="106">
        <v>0</v>
      </c>
      <c r="C4036" s="106">
        <v>662069</v>
      </c>
    </row>
    <row r="4037" spans="1:3">
      <c r="A4037" s="102">
        <v>44271</v>
      </c>
      <c r="B4037" s="106">
        <v>0</v>
      </c>
      <c r="C4037" s="106">
        <v>681585</v>
      </c>
    </row>
    <row r="4038" spans="1:3">
      <c r="A4038" s="102">
        <v>44272</v>
      </c>
      <c r="B4038" s="106">
        <v>1</v>
      </c>
      <c r="C4038" s="106">
        <v>513080</v>
      </c>
    </row>
    <row r="4039" spans="1:3">
      <c r="A4039" s="102">
        <v>44273</v>
      </c>
      <c r="B4039" s="106">
        <v>0</v>
      </c>
      <c r="C4039" s="106">
        <v>512704</v>
      </c>
    </row>
    <row r="4040" spans="1:3">
      <c r="A4040" s="102">
        <v>44274</v>
      </c>
      <c r="B4040" s="106">
        <v>0</v>
      </c>
      <c r="C4040" s="106">
        <v>536147</v>
      </c>
    </row>
    <row r="4041" spans="1:3">
      <c r="A4041" s="102">
        <v>44275</v>
      </c>
      <c r="B4041" s="106">
        <v>0</v>
      </c>
      <c r="C4041" s="106">
        <v>536147</v>
      </c>
    </row>
    <row r="4042" spans="1:3">
      <c r="A4042" s="102">
        <v>44276</v>
      </c>
      <c r="B4042" s="106">
        <v>0</v>
      </c>
      <c r="C4042" s="106">
        <v>536147</v>
      </c>
    </row>
    <row r="4043" spans="1:3">
      <c r="A4043" s="102">
        <v>44277</v>
      </c>
      <c r="B4043" s="106">
        <v>1</v>
      </c>
      <c r="C4043" s="106">
        <v>537963</v>
      </c>
    </row>
    <row r="4044" spans="1:3">
      <c r="A4044" s="102">
        <v>44278</v>
      </c>
      <c r="B4044" s="106">
        <v>0</v>
      </c>
      <c r="C4044" s="106">
        <v>549216</v>
      </c>
    </row>
    <row r="4045" spans="1:3">
      <c r="A4045" s="102">
        <v>44279</v>
      </c>
      <c r="B4045" s="106">
        <v>15</v>
      </c>
      <c r="C4045" s="106">
        <v>558505</v>
      </c>
    </row>
    <row r="4046" spans="1:3">
      <c r="A4046" s="102">
        <v>44280</v>
      </c>
      <c r="B4046" s="106">
        <v>10</v>
      </c>
      <c r="C4046" s="106">
        <v>608278</v>
      </c>
    </row>
    <row r="4047" spans="1:3">
      <c r="A4047" s="102">
        <v>44281</v>
      </c>
      <c r="B4047" s="106">
        <v>2</v>
      </c>
      <c r="C4047" s="106">
        <v>643890</v>
      </c>
    </row>
    <row r="4048" spans="1:3">
      <c r="A4048" s="102">
        <v>44282</v>
      </c>
      <c r="B4048" s="106">
        <v>2</v>
      </c>
      <c r="C4048" s="106">
        <v>643890</v>
      </c>
    </row>
    <row r="4049" spans="1:3">
      <c r="A4049" s="102">
        <v>44283</v>
      </c>
      <c r="B4049" s="106">
        <v>2</v>
      </c>
      <c r="C4049" s="106">
        <v>643890</v>
      </c>
    </row>
    <row r="4050" spans="1:3">
      <c r="A4050" s="102">
        <v>44284</v>
      </c>
      <c r="B4050" s="106">
        <v>2</v>
      </c>
      <c r="C4050" s="106">
        <v>659316</v>
      </c>
    </row>
    <row r="4051" spans="1:3">
      <c r="A4051" s="102">
        <v>44285</v>
      </c>
      <c r="B4051" s="106">
        <v>1</v>
      </c>
      <c r="C4051" s="106">
        <v>644515</v>
      </c>
    </row>
    <row r="4052" spans="1:3">
      <c r="A4052" s="102">
        <v>44286</v>
      </c>
      <c r="B4052" s="106">
        <v>10</v>
      </c>
      <c r="C4052" s="106">
        <v>728595</v>
      </c>
    </row>
    <row r="4053" spans="1:3">
      <c r="A4053" s="102">
        <v>44287</v>
      </c>
      <c r="B4053" s="106">
        <v>0</v>
      </c>
      <c r="C4053" s="106">
        <v>734040</v>
      </c>
    </row>
    <row r="4054" spans="1:3">
      <c r="A4054" s="102">
        <v>44288</v>
      </c>
      <c r="B4054" s="106">
        <v>0</v>
      </c>
      <c r="C4054" s="106">
        <v>734040</v>
      </c>
    </row>
    <row r="4055" spans="1:3">
      <c r="A4055" s="102">
        <v>44289</v>
      </c>
      <c r="B4055" s="106">
        <v>0</v>
      </c>
      <c r="C4055" s="106">
        <v>734040</v>
      </c>
    </row>
    <row r="4056" spans="1:3">
      <c r="A4056" s="102">
        <v>44290</v>
      </c>
      <c r="B4056" s="106">
        <v>0</v>
      </c>
      <c r="C4056" s="106">
        <v>734040</v>
      </c>
    </row>
    <row r="4057" spans="1:3">
      <c r="A4057" s="102">
        <v>44291</v>
      </c>
      <c r="B4057" s="106">
        <v>0</v>
      </c>
      <c r="C4057" s="106">
        <v>734040</v>
      </c>
    </row>
    <row r="4058" spans="1:3">
      <c r="A4058" s="102">
        <v>44292</v>
      </c>
      <c r="B4058" s="106">
        <v>0</v>
      </c>
      <c r="C4058" s="106">
        <v>727610</v>
      </c>
    </row>
    <row r="4059" spans="1:3">
      <c r="A4059" s="102">
        <v>44293</v>
      </c>
      <c r="B4059" s="106">
        <v>0</v>
      </c>
      <c r="C4059" s="106">
        <v>733858</v>
      </c>
    </row>
    <row r="4060" spans="1:3">
      <c r="A4060" s="102">
        <v>44294</v>
      </c>
      <c r="B4060" s="106">
        <v>0</v>
      </c>
      <c r="C4060" s="106">
        <v>734482</v>
      </c>
    </row>
    <row r="4061" spans="1:3">
      <c r="A4061" s="102">
        <v>44295</v>
      </c>
      <c r="B4061" s="106">
        <v>1</v>
      </c>
      <c r="C4061" s="106">
        <v>743535</v>
      </c>
    </row>
    <row r="4062" spans="1:3">
      <c r="A4062" s="102">
        <v>44296</v>
      </c>
      <c r="B4062" s="106">
        <v>1</v>
      </c>
      <c r="C4062" s="106">
        <v>743535</v>
      </c>
    </row>
    <row r="4063" spans="1:3">
      <c r="A4063" s="102">
        <v>44297</v>
      </c>
      <c r="B4063" s="106">
        <v>1</v>
      </c>
      <c r="C4063" s="106">
        <v>743535</v>
      </c>
    </row>
    <row r="4064" spans="1:3">
      <c r="A4064" s="102">
        <v>44298</v>
      </c>
      <c r="B4064" s="106">
        <v>0</v>
      </c>
      <c r="C4064" s="106">
        <v>740898</v>
      </c>
    </row>
    <row r="4065" spans="1:3">
      <c r="A4065" s="102">
        <v>44299</v>
      </c>
      <c r="B4065" s="106">
        <v>5</v>
      </c>
      <c r="C4065" s="106">
        <v>744211</v>
      </c>
    </row>
    <row r="4066" spans="1:3">
      <c r="A4066" s="102">
        <v>44300</v>
      </c>
      <c r="B4066" s="106">
        <v>5</v>
      </c>
      <c r="C4066" s="106">
        <v>731071</v>
      </c>
    </row>
    <row r="4067" spans="1:3">
      <c r="A4067" s="102">
        <v>44301</v>
      </c>
      <c r="B4067" s="106">
        <v>0</v>
      </c>
      <c r="C4067" s="106">
        <v>709635</v>
      </c>
    </row>
    <row r="4068" spans="1:3">
      <c r="A4068" s="102">
        <v>44302</v>
      </c>
      <c r="B4068" s="106">
        <v>0</v>
      </c>
      <c r="C4068" s="106">
        <v>703429</v>
      </c>
    </row>
    <row r="4069" spans="1:3">
      <c r="A4069" s="102">
        <v>44303</v>
      </c>
      <c r="B4069" s="106">
        <v>0</v>
      </c>
      <c r="C4069" s="106">
        <v>703429</v>
      </c>
    </row>
    <row r="4070" spans="1:3">
      <c r="A4070" s="102">
        <v>44304</v>
      </c>
      <c r="B4070" s="106">
        <v>0</v>
      </c>
      <c r="C4070" s="106">
        <v>703429</v>
      </c>
    </row>
    <row r="4071" spans="1:3">
      <c r="A4071" s="102">
        <v>44305</v>
      </c>
      <c r="B4071" s="106">
        <v>0</v>
      </c>
      <c r="C4071" s="106">
        <v>709540</v>
      </c>
    </row>
    <row r="4072" spans="1:3">
      <c r="A4072" s="102">
        <v>44306</v>
      </c>
      <c r="B4072" s="106">
        <v>0</v>
      </c>
      <c r="C4072" s="106">
        <v>710491</v>
      </c>
    </row>
    <row r="4073" spans="1:3">
      <c r="A4073" s="102">
        <v>44307</v>
      </c>
      <c r="B4073" s="106">
        <v>1</v>
      </c>
      <c r="C4073" s="106">
        <v>721352</v>
      </c>
    </row>
    <row r="4074" spans="1:3">
      <c r="A4074" s="102">
        <v>44308</v>
      </c>
      <c r="B4074" s="106">
        <v>0</v>
      </c>
      <c r="C4074" s="106">
        <v>664141</v>
      </c>
    </row>
    <row r="4075" spans="1:3">
      <c r="A4075" s="102">
        <v>44309</v>
      </c>
      <c r="B4075" s="106">
        <v>0</v>
      </c>
      <c r="C4075" s="106">
        <v>716303</v>
      </c>
    </row>
    <row r="4076" spans="1:3">
      <c r="A4076" s="102">
        <v>44310</v>
      </c>
      <c r="B4076" s="106">
        <v>0</v>
      </c>
      <c r="C4076" s="106">
        <v>716303</v>
      </c>
    </row>
    <row r="4077" spans="1:3">
      <c r="A4077" s="102">
        <v>44311</v>
      </c>
      <c r="B4077" s="106">
        <v>0</v>
      </c>
      <c r="C4077" s="106">
        <v>716303</v>
      </c>
    </row>
    <row r="4078" spans="1:3">
      <c r="A4078" s="102">
        <v>44312</v>
      </c>
      <c r="B4078" s="106">
        <v>0</v>
      </c>
      <c r="C4078" s="106">
        <v>733957</v>
      </c>
    </row>
    <row r="4079" spans="1:3">
      <c r="A4079" s="102">
        <v>44313</v>
      </c>
      <c r="B4079" s="106">
        <v>0</v>
      </c>
      <c r="C4079" s="106">
        <v>734449</v>
      </c>
    </row>
    <row r="4080" spans="1:3">
      <c r="A4080" s="102">
        <v>44314</v>
      </c>
      <c r="B4080" s="106">
        <v>0</v>
      </c>
      <c r="C4080" s="106">
        <v>582459</v>
      </c>
    </row>
    <row r="4081" spans="1:3">
      <c r="A4081" s="102">
        <v>44315</v>
      </c>
      <c r="B4081" s="106">
        <v>0</v>
      </c>
      <c r="C4081" s="106">
        <v>523552</v>
      </c>
    </row>
    <row r="4082" spans="1:3">
      <c r="A4082" s="102">
        <v>44316</v>
      </c>
      <c r="B4082" s="106">
        <v>0</v>
      </c>
      <c r="C4082" s="106">
        <v>601752</v>
      </c>
    </row>
    <row r="4083" spans="1:3">
      <c r="A4083" s="102">
        <v>44317</v>
      </c>
      <c r="B4083" s="106">
        <v>0</v>
      </c>
      <c r="C4083" s="106">
        <v>601752</v>
      </c>
    </row>
    <row r="4084" spans="1:3">
      <c r="A4084" s="102">
        <v>44318</v>
      </c>
      <c r="B4084" s="106">
        <v>0</v>
      </c>
      <c r="C4084" s="106">
        <v>601752</v>
      </c>
    </row>
    <row r="4085" spans="1:3">
      <c r="A4085" s="102">
        <v>44319</v>
      </c>
      <c r="B4085" s="106">
        <v>0</v>
      </c>
      <c r="C4085" s="106">
        <v>574360</v>
      </c>
    </row>
    <row r="4086" spans="1:3">
      <c r="A4086" s="102">
        <v>44320</v>
      </c>
      <c r="B4086" s="106">
        <v>0</v>
      </c>
      <c r="C4086" s="106">
        <v>575224</v>
      </c>
    </row>
    <row r="4087" spans="1:3">
      <c r="A4087" s="102">
        <v>44321</v>
      </c>
      <c r="B4087" s="106">
        <v>0</v>
      </c>
      <c r="C4087" s="106">
        <v>574252</v>
      </c>
    </row>
    <row r="4088" spans="1:3">
      <c r="A4088" s="102">
        <v>44322</v>
      </c>
      <c r="B4088" s="106">
        <v>0</v>
      </c>
      <c r="C4088" s="106">
        <v>579654</v>
      </c>
    </row>
    <row r="4089" spans="1:3">
      <c r="A4089" s="102">
        <v>44323</v>
      </c>
      <c r="B4089" s="106">
        <v>1</v>
      </c>
      <c r="C4089" s="106">
        <v>665160</v>
      </c>
    </row>
    <row r="4090" spans="1:3">
      <c r="A4090" s="102">
        <v>44324</v>
      </c>
      <c r="B4090" s="106">
        <v>1</v>
      </c>
      <c r="C4090" s="106">
        <v>665160</v>
      </c>
    </row>
    <row r="4091" spans="1:3">
      <c r="A4091" s="102">
        <v>44325</v>
      </c>
      <c r="B4091" s="106">
        <v>1</v>
      </c>
      <c r="C4091" s="106">
        <v>665160</v>
      </c>
    </row>
    <row r="4092" spans="1:3">
      <c r="A4092" s="102">
        <v>44326</v>
      </c>
      <c r="B4092" s="106">
        <v>0</v>
      </c>
      <c r="C4092" s="106">
        <v>749585</v>
      </c>
    </row>
    <row r="4093" spans="1:3">
      <c r="A4093" s="102">
        <v>44327</v>
      </c>
      <c r="B4093" s="106">
        <v>0</v>
      </c>
      <c r="C4093" s="106">
        <v>748593</v>
      </c>
    </row>
    <row r="4094" spans="1:3">
      <c r="A4094" s="102">
        <v>44328</v>
      </c>
      <c r="B4094" s="106">
        <v>0</v>
      </c>
      <c r="C4094" s="106">
        <v>734611</v>
      </c>
    </row>
    <row r="4095" spans="1:3">
      <c r="A4095" s="102">
        <v>44329</v>
      </c>
      <c r="B4095" s="106">
        <v>2</v>
      </c>
      <c r="C4095" s="106">
        <v>731902</v>
      </c>
    </row>
    <row r="4096" spans="1:3">
      <c r="A4096" s="102">
        <v>44330</v>
      </c>
      <c r="B4096" s="106">
        <v>0</v>
      </c>
      <c r="C4096" s="106">
        <v>730083</v>
      </c>
    </row>
    <row r="4097" spans="1:4">
      <c r="A4097" s="102">
        <v>44331</v>
      </c>
      <c r="B4097" s="106">
        <v>0</v>
      </c>
      <c r="C4097" s="106">
        <v>730083</v>
      </c>
    </row>
    <row r="4098" spans="1:4">
      <c r="A4098" s="102">
        <v>44332</v>
      </c>
      <c r="B4098" s="106">
        <v>0</v>
      </c>
      <c r="C4098" s="106">
        <v>730083</v>
      </c>
    </row>
    <row r="4099" spans="1:4">
      <c r="A4099" s="102">
        <v>44333</v>
      </c>
      <c r="B4099" s="106">
        <v>0</v>
      </c>
      <c r="C4099" s="106">
        <v>734364</v>
      </c>
    </row>
    <row r="4100" spans="1:4">
      <c r="A4100" s="102">
        <v>44334</v>
      </c>
      <c r="B4100" s="106">
        <v>0</v>
      </c>
      <c r="C4100" s="106">
        <v>725438</v>
      </c>
    </row>
    <row r="4101" spans="1:4">
      <c r="A4101" s="102">
        <v>44335</v>
      </c>
      <c r="B4101" s="106">
        <v>0</v>
      </c>
      <c r="C4101" s="106">
        <v>738610</v>
      </c>
    </row>
    <row r="4102" spans="1:4">
      <c r="A4102" s="102">
        <v>44336</v>
      </c>
      <c r="B4102" s="106">
        <v>1</v>
      </c>
      <c r="C4102" s="106">
        <v>739024</v>
      </c>
    </row>
    <row r="4103" spans="1:4">
      <c r="A4103" s="102">
        <v>44337</v>
      </c>
      <c r="B4103" s="106">
        <v>0</v>
      </c>
      <c r="C4103" s="106">
        <v>738242</v>
      </c>
    </row>
    <row r="4104" spans="1:4">
      <c r="A4104" s="102">
        <v>44338</v>
      </c>
      <c r="B4104" s="106">
        <v>0</v>
      </c>
      <c r="C4104" s="106">
        <v>738242</v>
      </c>
    </row>
    <row r="4105" spans="1:4">
      <c r="A4105" s="102">
        <v>44339</v>
      </c>
      <c r="B4105" s="106">
        <v>0</v>
      </c>
      <c r="C4105" s="106">
        <v>738242</v>
      </c>
    </row>
    <row r="4106" spans="1:4">
      <c r="A4106" s="102">
        <v>44340</v>
      </c>
      <c r="B4106" s="106">
        <v>0</v>
      </c>
      <c r="C4106" s="106">
        <v>739038</v>
      </c>
    </row>
    <row r="4107" spans="1:4">
      <c r="A4107" s="102">
        <v>44341</v>
      </c>
      <c r="B4107" s="106">
        <v>0</v>
      </c>
      <c r="C4107" s="106">
        <v>742416</v>
      </c>
    </row>
    <row r="4108" spans="1:4">
      <c r="A4108" s="102">
        <v>44342</v>
      </c>
      <c r="B4108" s="106">
        <v>110</v>
      </c>
      <c r="C4108" s="106">
        <v>742332</v>
      </c>
    </row>
    <row r="4109" spans="1:4">
      <c r="A4109" s="102">
        <v>44343</v>
      </c>
      <c r="B4109" s="106">
        <v>146</v>
      </c>
      <c r="C4109" s="106">
        <f>-744339*-1</f>
        <v>744339</v>
      </c>
    </row>
    <row r="4110" spans="1:4">
      <c r="A4110" s="102">
        <v>44344</v>
      </c>
      <c r="B4110" s="106">
        <v>0</v>
      </c>
      <c r="C4110" s="106">
        <v>758898</v>
      </c>
      <c r="D4110" s="306"/>
    </row>
    <row r="4111" spans="1:4">
      <c r="A4111" s="102">
        <v>44345</v>
      </c>
      <c r="B4111" s="106">
        <v>0</v>
      </c>
      <c r="C4111" s="106">
        <v>758898</v>
      </c>
      <c r="D4111" s="306"/>
    </row>
    <row r="4112" spans="1:4">
      <c r="A4112" s="102">
        <v>44346</v>
      </c>
      <c r="B4112" s="106">
        <v>0</v>
      </c>
      <c r="C4112" s="106">
        <v>758898</v>
      </c>
      <c r="D4112" s="306"/>
    </row>
    <row r="4113" spans="1:4">
      <c r="A4113" s="102">
        <v>44347</v>
      </c>
      <c r="B4113" s="106">
        <v>0</v>
      </c>
      <c r="C4113" s="106">
        <v>728830</v>
      </c>
      <c r="D4113" s="306"/>
    </row>
    <row r="4114" spans="1:4">
      <c r="A4114" s="102">
        <v>44348</v>
      </c>
      <c r="B4114" s="106">
        <v>0</v>
      </c>
      <c r="C4114" s="106">
        <v>738849</v>
      </c>
      <c r="D4114" s="306"/>
    </row>
    <row r="4115" spans="1:4">
      <c r="A4115" s="102">
        <v>44349</v>
      </c>
      <c r="B4115" s="106">
        <v>0</v>
      </c>
      <c r="C4115" s="106">
        <v>734627</v>
      </c>
      <c r="D4115" s="306"/>
    </row>
    <row r="4116" spans="1:4">
      <c r="A4116" s="102">
        <v>44350</v>
      </c>
      <c r="B4116" s="106">
        <v>6</v>
      </c>
      <c r="C4116" s="106">
        <v>744146</v>
      </c>
      <c r="D4116" s="306"/>
    </row>
    <row r="4117" spans="1:4">
      <c r="A4117" s="102">
        <v>44351</v>
      </c>
      <c r="B4117" s="106">
        <v>3</v>
      </c>
      <c r="C4117" s="106">
        <v>736555</v>
      </c>
      <c r="D4117" s="306"/>
    </row>
    <row r="4118" spans="1:4">
      <c r="A4118" s="102">
        <v>44352</v>
      </c>
      <c r="B4118" s="106">
        <v>3</v>
      </c>
      <c r="C4118" s="106">
        <v>736555</v>
      </c>
      <c r="D4118" s="306"/>
    </row>
    <row r="4119" spans="1:4">
      <c r="A4119" s="102">
        <v>44353</v>
      </c>
      <c r="B4119" s="106">
        <v>3</v>
      </c>
      <c r="C4119" s="106">
        <v>736555</v>
      </c>
      <c r="D4119" s="306"/>
    </row>
    <row r="4120" spans="1:4">
      <c r="A4120" s="102">
        <v>44354</v>
      </c>
      <c r="B4120" s="106">
        <v>3</v>
      </c>
      <c r="C4120" s="106">
        <v>749626</v>
      </c>
      <c r="D4120" s="306"/>
    </row>
    <row r="4121" spans="1:4">
      <c r="A4121" s="102">
        <v>44355</v>
      </c>
      <c r="B4121" s="106">
        <v>1</v>
      </c>
      <c r="C4121" s="106">
        <v>750571</v>
      </c>
      <c r="D4121" s="306"/>
    </row>
    <row r="4122" spans="1:4">
      <c r="A4122" s="102">
        <v>44356</v>
      </c>
      <c r="B4122" s="106">
        <v>0</v>
      </c>
      <c r="C4122" s="106">
        <v>737661</v>
      </c>
      <c r="D4122" s="306"/>
    </row>
    <row r="4123" spans="1:4">
      <c r="A4123" s="102">
        <v>44357</v>
      </c>
      <c r="B4123" s="106">
        <v>1</v>
      </c>
      <c r="C4123" s="106">
        <v>745715</v>
      </c>
      <c r="D4123" s="306"/>
    </row>
    <row r="4124" spans="1:4">
      <c r="A4124" s="102">
        <v>44358</v>
      </c>
      <c r="B4124" s="106">
        <v>0</v>
      </c>
      <c r="C4124" s="106">
        <v>744810</v>
      </c>
    </row>
    <row r="4125" spans="1:4">
      <c r="A4125" s="102">
        <v>44359</v>
      </c>
      <c r="B4125" s="106">
        <v>0</v>
      </c>
      <c r="C4125" s="106">
        <v>744810</v>
      </c>
    </row>
    <row r="4126" spans="1:4">
      <c r="A4126" s="102">
        <v>44360</v>
      </c>
      <c r="B4126" s="106">
        <v>0</v>
      </c>
      <c r="C4126" s="106">
        <v>744810</v>
      </c>
    </row>
    <row r="4127" spans="1:4">
      <c r="A4127" s="102">
        <v>44361</v>
      </c>
      <c r="B4127" s="106">
        <v>0</v>
      </c>
      <c r="C4127" s="106">
        <v>740941</v>
      </c>
    </row>
    <row r="4128" spans="1:4">
      <c r="A4128" s="102">
        <v>44362</v>
      </c>
      <c r="B4128" s="106">
        <v>0</v>
      </c>
      <c r="C4128" s="106">
        <v>742028</v>
      </c>
    </row>
    <row r="4129" spans="1:3">
      <c r="A4129" s="102">
        <v>44363</v>
      </c>
      <c r="B4129" s="106">
        <v>0</v>
      </c>
      <c r="C4129" s="106">
        <v>523802</v>
      </c>
    </row>
    <row r="4130" spans="1:3">
      <c r="A4130" s="102">
        <v>44364</v>
      </c>
      <c r="B4130" s="106">
        <v>0</v>
      </c>
      <c r="C4130" s="106">
        <v>517250</v>
      </c>
    </row>
    <row r="4131" spans="1:3">
      <c r="A4131" s="102">
        <v>44365</v>
      </c>
      <c r="B4131" s="106">
        <v>0</v>
      </c>
      <c r="C4131" s="106">
        <v>530685</v>
      </c>
    </row>
    <row r="4132" spans="1:3">
      <c r="A4132" s="102">
        <v>44366</v>
      </c>
      <c r="B4132" s="106">
        <v>0</v>
      </c>
      <c r="C4132" s="106">
        <v>530685</v>
      </c>
    </row>
    <row r="4133" spans="1:3">
      <c r="A4133" s="102">
        <v>44367</v>
      </c>
      <c r="B4133" s="106">
        <v>0</v>
      </c>
      <c r="C4133" s="106">
        <v>530685</v>
      </c>
    </row>
    <row r="4134" spans="1:3">
      <c r="A4134" s="102">
        <v>44368</v>
      </c>
      <c r="B4134" s="106">
        <v>1</v>
      </c>
      <c r="C4134" s="106">
        <v>555565</v>
      </c>
    </row>
    <row r="4135" spans="1:3">
      <c r="A4135" s="102">
        <v>44369</v>
      </c>
      <c r="B4135" s="106">
        <v>0</v>
      </c>
      <c r="C4135" s="106">
        <v>598618</v>
      </c>
    </row>
    <row r="4136" spans="1:3">
      <c r="A4136" s="102">
        <v>44370</v>
      </c>
      <c r="B4136" s="106">
        <v>0</v>
      </c>
      <c r="C4136" s="106">
        <v>614040</v>
      </c>
    </row>
    <row r="4137" spans="1:3">
      <c r="A4137" s="102">
        <v>44371</v>
      </c>
      <c r="B4137" s="106">
        <v>0</v>
      </c>
      <c r="C4137" s="106">
        <v>675475</v>
      </c>
    </row>
    <row r="4138" spans="1:3">
      <c r="A4138" s="102">
        <v>44372</v>
      </c>
      <c r="B4138" s="106">
        <v>2</v>
      </c>
      <c r="C4138" s="106">
        <v>684279</v>
      </c>
    </row>
    <row r="4139" spans="1:3">
      <c r="A4139" s="102">
        <v>44373</v>
      </c>
      <c r="B4139" s="106">
        <v>2</v>
      </c>
      <c r="C4139" s="106">
        <v>684279</v>
      </c>
    </row>
    <row r="4140" spans="1:3">
      <c r="A4140" s="102">
        <v>44374</v>
      </c>
      <c r="B4140" s="106">
        <v>2</v>
      </c>
      <c r="C4140" s="106">
        <v>684279</v>
      </c>
    </row>
    <row r="4141" spans="1:3">
      <c r="A4141" s="102">
        <v>44375</v>
      </c>
      <c r="B4141" s="106">
        <v>0</v>
      </c>
      <c r="C4141" s="106">
        <v>733311</v>
      </c>
    </row>
    <row r="4142" spans="1:3">
      <c r="A4142" s="102">
        <v>44376</v>
      </c>
      <c r="B4142" s="106">
        <v>0</v>
      </c>
      <c r="C4142" s="106">
        <v>759380</v>
      </c>
    </row>
    <row r="4143" spans="1:3">
      <c r="A4143" s="102">
        <v>44377</v>
      </c>
      <c r="B4143" s="106">
        <v>0</v>
      </c>
      <c r="C4143" s="106">
        <v>790009</v>
      </c>
    </row>
    <row r="4144" spans="1:3">
      <c r="A4144" s="102">
        <v>44378</v>
      </c>
      <c r="B4144" s="106">
        <v>1</v>
      </c>
      <c r="C4144" s="106">
        <v>773596</v>
      </c>
    </row>
    <row r="4145" spans="1:3">
      <c r="A4145" s="102">
        <v>44379</v>
      </c>
      <c r="B4145" s="106">
        <v>10</v>
      </c>
      <c r="C4145" s="106">
        <v>786831</v>
      </c>
    </row>
    <row r="4146" spans="1:3">
      <c r="A4146" s="102">
        <v>44380</v>
      </c>
      <c r="B4146" s="106">
        <v>10</v>
      </c>
      <c r="C4146" s="106">
        <v>786831</v>
      </c>
    </row>
    <row r="4147" spans="1:3">
      <c r="A4147" s="102">
        <v>44381</v>
      </c>
      <c r="B4147" s="106">
        <v>10</v>
      </c>
      <c r="C4147" s="106">
        <v>786831</v>
      </c>
    </row>
    <row r="4148" spans="1:3">
      <c r="A4148" s="102">
        <v>44382</v>
      </c>
      <c r="B4148" s="106">
        <v>0</v>
      </c>
      <c r="C4148" s="106">
        <v>817140</v>
      </c>
    </row>
    <row r="4149" spans="1:3">
      <c r="A4149" s="102">
        <v>44383</v>
      </c>
      <c r="B4149" s="106">
        <v>1</v>
      </c>
      <c r="C4149" s="106">
        <v>801086</v>
      </c>
    </row>
    <row r="4150" spans="1:3">
      <c r="A4150" s="102">
        <v>44384</v>
      </c>
      <c r="B4150" s="106">
        <v>0</v>
      </c>
      <c r="C4150" s="106">
        <v>803233</v>
      </c>
    </row>
    <row r="4151" spans="1:3">
      <c r="A4151" s="102">
        <v>44385</v>
      </c>
      <c r="B4151" s="106">
        <v>0</v>
      </c>
      <c r="C4151" s="106">
        <v>786814</v>
      </c>
    </row>
    <row r="4152" spans="1:3">
      <c r="A4152" s="102">
        <v>44386</v>
      </c>
      <c r="B4152" s="106">
        <v>0</v>
      </c>
      <c r="C4152" s="106">
        <v>791648</v>
      </c>
    </row>
    <row r="4153" spans="1:3">
      <c r="A4153" s="102">
        <v>44387</v>
      </c>
      <c r="B4153" s="106">
        <v>0</v>
      </c>
      <c r="C4153" s="106">
        <v>791648</v>
      </c>
    </row>
    <row r="4154" spans="1:3">
      <c r="A4154" s="102">
        <v>44388</v>
      </c>
      <c r="B4154" s="106">
        <v>0</v>
      </c>
      <c r="C4154" s="106">
        <v>791648</v>
      </c>
    </row>
    <row r="4155" spans="1:3">
      <c r="A4155" s="102">
        <v>44389</v>
      </c>
      <c r="B4155" s="106">
        <v>0</v>
      </c>
      <c r="C4155" s="106">
        <v>802878</v>
      </c>
    </row>
    <row r="4156" spans="1:3">
      <c r="A4156" s="102">
        <v>44390</v>
      </c>
      <c r="B4156" s="106">
        <v>0</v>
      </c>
      <c r="C4156" s="106">
        <v>790169</v>
      </c>
    </row>
    <row r="4157" spans="1:3">
      <c r="A4157" s="102">
        <v>44391</v>
      </c>
      <c r="B4157" s="106">
        <v>0</v>
      </c>
      <c r="C4157" s="106">
        <v>804015</v>
      </c>
    </row>
    <row r="4158" spans="1:3">
      <c r="A4158" s="102">
        <v>44392</v>
      </c>
      <c r="B4158" s="106">
        <v>0</v>
      </c>
      <c r="C4158" s="106">
        <v>795674</v>
      </c>
    </row>
    <row r="4159" spans="1:3">
      <c r="A4159" s="102">
        <v>44393</v>
      </c>
      <c r="B4159" s="106">
        <v>0</v>
      </c>
      <c r="C4159" s="106">
        <v>818089</v>
      </c>
    </row>
    <row r="4160" spans="1:3">
      <c r="A4160" s="102">
        <v>44394</v>
      </c>
      <c r="B4160" s="106">
        <v>0</v>
      </c>
      <c r="C4160" s="106">
        <v>818089</v>
      </c>
    </row>
    <row r="4161" spans="1:3">
      <c r="A4161" s="102">
        <v>44395</v>
      </c>
      <c r="B4161" s="106">
        <v>0</v>
      </c>
      <c r="C4161" s="106">
        <v>818089</v>
      </c>
    </row>
    <row r="4162" spans="1:3">
      <c r="A4162" s="102">
        <v>44396</v>
      </c>
      <c r="B4162" s="106">
        <v>0</v>
      </c>
      <c r="C4162" s="106">
        <v>798180</v>
      </c>
    </row>
    <row r="4163" spans="1:3">
      <c r="A4163" s="102">
        <v>44397</v>
      </c>
      <c r="B4163" s="106">
        <v>1</v>
      </c>
      <c r="C4163" s="106">
        <v>808550</v>
      </c>
    </row>
    <row r="4164" spans="1:3">
      <c r="A4164" s="102">
        <v>44398</v>
      </c>
      <c r="B4164" s="106">
        <v>0</v>
      </c>
      <c r="C4164" s="106">
        <v>787875</v>
      </c>
    </row>
    <row r="4165" spans="1:3">
      <c r="A4165" s="102">
        <v>44399</v>
      </c>
      <c r="B4165" s="106">
        <v>0</v>
      </c>
      <c r="C4165" s="106">
        <v>803833</v>
      </c>
    </row>
    <row r="4166" spans="1:3">
      <c r="A4166" s="102">
        <v>44400</v>
      </c>
      <c r="B4166" s="106">
        <v>0</v>
      </c>
      <c r="C4166" s="106">
        <v>783898</v>
      </c>
    </row>
    <row r="4167" spans="1:3">
      <c r="A4167" s="102">
        <v>44401</v>
      </c>
      <c r="B4167" s="106">
        <v>0</v>
      </c>
      <c r="C4167" s="106">
        <v>783898</v>
      </c>
    </row>
    <row r="4168" spans="1:3">
      <c r="A4168" s="102">
        <v>44402</v>
      </c>
      <c r="B4168" s="106">
        <v>0</v>
      </c>
      <c r="C4168" s="106">
        <v>783898</v>
      </c>
    </row>
    <row r="4169" spans="1:3">
      <c r="A4169" s="102">
        <v>44403</v>
      </c>
      <c r="B4169" s="106">
        <v>0</v>
      </c>
      <c r="C4169" s="106">
        <v>801109</v>
      </c>
    </row>
    <row r="4170" spans="1:3">
      <c r="A4170" s="102">
        <v>44404</v>
      </c>
      <c r="B4170" s="106">
        <v>7</v>
      </c>
      <c r="C4170" s="106">
        <v>808863</v>
      </c>
    </row>
    <row r="4171" spans="1:3">
      <c r="A4171" s="102">
        <v>44405</v>
      </c>
      <c r="B4171" s="176">
        <v>0</v>
      </c>
      <c r="C4171" s="106">
        <v>603336</v>
      </c>
    </row>
    <row r="4172" spans="1:3">
      <c r="A4172" s="102">
        <v>44406</v>
      </c>
      <c r="B4172" s="176">
        <v>3</v>
      </c>
      <c r="C4172" s="106">
        <v>646423</v>
      </c>
    </row>
    <row r="4173" spans="1:3">
      <c r="A4173" s="102">
        <v>44407</v>
      </c>
      <c r="B4173">
        <v>71</v>
      </c>
      <c r="C4173" s="106">
        <v>680960</v>
      </c>
    </row>
    <row r="4174" spans="1:3">
      <c r="A4174" s="102">
        <v>44408</v>
      </c>
      <c r="B4174">
        <v>71</v>
      </c>
      <c r="C4174" s="106">
        <v>680960</v>
      </c>
    </row>
    <row r="4175" spans="1:3">
      <c r="A4175" s="102">
        <v>44409</v>
      </c>
      <c r="B4175">
        <v>71</v>
      </c>
      <c r="C4175" s="106">
        <v>680960</v>
      </c>
    </row>
    <row r="4176" spans="1:3">
      <c r="A4176" s="102">
        <v>44410</v>
      </c>
      <c r="B4176">
        <v>0</v>
      </c>
      <c r="C4176" s="106">
        <v>627544</v>
      </c>
    </row>
    <row r="4177" spans="1:3">
      <c r="A4177" s="102">
        <v>44411</v>
      </c>
      <c r="B4177">
        <v>0</v>
      </c>
      <c r="C4177" s="106">
        <v>626156</v>
      </c>
    </row>
    <row r="4178" spans="1:3">
      <c r="A4178" s="102">
        <v>44412</v>
      </c>
      <c r="B4178">
        <v>0</v>
      </c>
      <c r="C4178" s="106">
        <v>675483</v>
      </c>
    </row>
    <row r="4179" spans="1:3">
      <c r="A4179" s="102">
        <v>44413</v>
      </c>
      <c r="B4179">
        <v>0</v>
      </c>
      <c r="C4179" s="106">
        <v>691394</v>
      </c>
    </row>
    <row r="4180" spans="1:3">
      <c r="A4180" s="102">
        <v>44414</v>
      </c>
      <c r="B4180">
        <v>0</v>
      </c>
      <c r="C4180" s="106">
        <v>732155</v>
      </c>
    </row>
    <row r="4181" spans="1:3">
      <c r="A4181" s="102">
        <v>44415</v>
      </c>
      <c r="B4181">
        <v>0</v>
      </c>
      <c r="C4181" s="106">
        <v>732155</v>
      </c>
    </row>
    <row r="4182" spans="1:3">
      <c r="A4182" s="102">
        <v>44416</v>
      </c>
      <c r="B4182">
        <v>0</v>
      </c>
      <c r="C4182" s="106">
        <v>732155</v>
      </c>
    </row>
    <row r="4183" spans="1:3">
      <c r="A4183" s="102">
        <v>44417</v>
      </c>
      <c r="B4183">
        <v>401</v>
      </c>
      <c r="C4183" s="106">
        <v>248112</v>
      </c>
    </row>
    <row r="4184" spans="1:3">
      <c r="A4184" s="102">
        <v>44418</v>
      </c>
      <c r="B4184">
        <v>0</v>
      </c>
      <c r="C4184" s="106">
        <v>826307</v>
      </c>
    </row>
    <row r="4185" spans="1:3">
      <c r="A4185" s="102">
        <v>44419</v>
      </c>
      <c r="B4185">
        <v>0</v>
      </c>
      <c r="C4185" s="106">
        <v>823191</v>
      </c>
    </row>
    <row r="4186" spans="1:3">
      <c r="A4186" s="102">
        <v>44420</v>
      </c>
      <c r="B4186">
        <v>0</v>
      </c>
      <c r="C4186" s="106">
        <v>814928</v>
      </c>
    </row>
    <row r="4187" spans="1:3">
      <c r="A4187" s="102">
        <v>44421</v>
      </c>
      <c r="B4187">
        <v>0</v>
      </c>
      <c r="C4187" s="106">
        <v>811414</v>
      </c>
    </row>
    <row r="4188" spans="1:3">
      <c r="A4188" s="102">
        <v>44422</v>
      </c>
      <c r="B4188">
        <v>0</v>
      </c>
      <c r="C4188" s="106">
        <v>811414</v>
      </c>
    </row>
    <row r="4189" spans="1:3">
      <c r="A4189" s="102">
        <v>44423</v>
      </c>
      <c r="B4189">
        <v>0</v>
      </c>
      <c r="C4189" s="106">
        <v>811414</v>
      </c>
    </row>
    <row r="4190" spans="1:3">
      <c r="A4190" s="102">
        <v>44424</v>
      </c>
      <c r="B4190">
        <v>0</v>
      </c>
      <c r="C4190" s="106">
        <v>810468</v>
      </c>
    </row>
    <row r="4191" spans="1:3">
      <c r="A4191" s="102">
        <v>44425</v>
      </c>
      <c r="B4191">
        <v>84</v>
      </c>
      <c r="C4191" s="106">
        <v>811269</v>
      </c>
    </row>
    <row r="4192" spans="1:3">
      <c r="A4192" s="102">
        <v>44426</v>
      </c>
      <c r="B4192">
        <v>50</v>
      </c>
      <c r="C4192" s="106">
        <v>803768</v>
      </c>
    </row>
    <row r="4193" spans="1:3">
      <c r="A4193" s="102">
        <v>44427</v>
      </c>
      <c r="B4193">
        <v>35</v>
      </c>
      <c r="C4193" s="106">
        <v>804290</v>
      </c>
    </row>
    <row r="4194" spans="1:3">
      <c r="A4194" s="102">
        <v>44428</v>
      </c>
      <c r="B4194">
        <v>0</v>
      </c>
      <c r="C4194" s="106">
        <v>804713</v>
      </c>
    </row>
    <row r="4195" spans="1:3">
      <c r="A4195" s="102">
        <v>44429</v>
      </c>
      <c r="B4195">
        <v>0</v>
      </c>
      <c r="C4195" s="106">
        <v>804713</v>
      </c>
    </row>
    <row r="4196" spans="1:3">
      <c r="A4196" s="102">
        <v>44430</v>
      </c>
      <c r="B4196">
        <v>0</v>
      </c>
      <c r="C4196" s="106">
        <v>804713</v>
      </c>
    </row>
    <row r="4197" spans="1:3">
      <c r="A4197" s="102">
        <v>44431</v>
      </c>
      <c r="B4197">
        <v>1</v>
      </c>
      <c r="C4197" s="106">
        <v>800241</v>
      </c>
    </row>
    <row r="4198" spans="1:3">
      <c r="A4198" s="102">
        <v>44432</v>
      </c>
      <c r="B4198">
        <v>3</v>
      </c>
      <c r="C4198" s="106">
        <v>786846</v>
      </c>
    </row>
    <row r="4199" spans="1:3">
      <c r="A4199" s="102">
        <v>44433</v>
      </c>
      <c r="B4199">
        <v>0</v>
      </c>
      <c r="C4199" s="106">
        <v>797036</v>
      </c>
    </row>
    <row r="4200" spans="1:3">
      <c r="A4200" s="102">
        <v>44434</v>
      </c>
      <c r="B4200">
        <v>0</v>
      </c>
      <c r="C4200" s="106">
        <v>800442</v>
      </c>
    </row>
    <row r="4201" spans="1:3">
      <c r="A4201" s="102">
        <v>44435</v>
      </c>
      <c r="B4201">
        <v>0</v>
      </c>
      <c r="C4201" s="106">
        <v>789221</v>
      </c>
    </row>
    <row r="4202" spans="1:3">
      <c r="A4202" s="102">
        <v>44436</v>
      </c>
      <c r="B4202">
        <v>0</v>
      </c>
      <c r="C4202" s="106">
        <v>789221</v>
      </c>
    </row>
    <row r="4203" spans="1:3">
      <c r="A4203" s="102">
        <v>44437</v>
      </c>
      <c r="B4203">
        <v>0</v>
      </c>
      <c r="C4203" s="106">
        <v>789221</v>
      </c>
    </row>
    <row r="4204" spans="1:3">
      <c r="A4204" s="102">
        <v>44438</v>
      </c>
      <c r="B4204">
        <v>0</v>
      </c>
      <c r="C4204" s="106">
        <v>796140</v>
      </c>
    </row>
    <row r="4205" spans="1:3">
      <c r="A4205" s="102">
        <v>44439</v>
      </c>
      <c r="B4205">
        <v>0</v>
      </c>
      <c r="C4205" s="106">
        <v>838965</v>
      </c>
    </row>
    <row r="4206" spans="1:3">
      <c r="A4206" s="102">
        <v>44440</v>
      </c>
      <c r="B4206">
        <v>0</v>
      </c>
      <c r="C4206" s="106">
        <v>822846</v>
      </c>
    </row>
    <row r="4207" spans="1:3">
      <c r="A4207" s="102">
        <v>44441</v>
      </c>
      <c r="B4207">
        <v>47</v>
      </c>
      <c r="C4207" s="106">
        <v>822337</v>
      </c>
    </row>
    <row r="4208" spans="1:3">
      <c r="A4208" s="102">
        <v>44442</v>
      </c>
      <c r="B4208">
        <v>0</v>
      </c>
      <c r="C4208" s="106">
        <v>812981</v>
      </c>
    </row>
    <row r="4209" spans="1:3">
      <c r="A4209" s="102">
        <v>44443</v>
      </c>
      <c r="B4209">
        <v>0</v>
      </c>
      <c r="C4209" s="106">
        <v>812981</v>
      </c>
    </row>
    <row r="4210" spans="1:3">
      <c r="A4210" s="102">
        <v>44444</v>
      </c>
      <c r="B4210">
        <v>0</v>
      </c>
      <c r="C4210" s="106">
        <v>812981</v>
      </c>
    </row>
    <row r="4211" spans="1:3">
      <c r="A4211" s="102">
        <v>44445</v>
      </c>
      <c r="B4211">
        <v>0</v>
      </c>
      <c r="C4211" s="106">
        <v>823384</v>
      </c>
    </row>
    <row r="4212" spans="1:3">
      <c r="A4212" s="102">
        <v>44446</v>
      </c>
      <c r="B4212">
        <v>0</v>
      </c>
      <c r="C4212" s="106">
        <v>818777</v>
      </c>
    </row>
    <row r="4213" spans="1:3">
      <c r="A4213" s="102">
        <v>44447</v>
      </c>
      <c r="B4213">
        <v>1</v>
      </c>
      <c r="C4213" s="106">
        <v>821201</v>
      </c>
    </row>
    <row r="4214" spans="1:3">
      <c r="A4214" s="102">
        <v>44448</v>
      </c>
      <c r="B4214">
        <v>0</v>
      </c>
      <c r="C4214" s="106">
        <v>814773</v>
      </c>
    </row>
    <row r="4215" spans="1:3">
      <c r="A4215" s="102">
        <v>44449</v>
      </c>
      <c r="B4215">
        <v>19</v>
      </c>
      <c r="C4215" s="106">
        <v>821444</v>
      </c>
    </row>
    <row r="4216" spans="1:3">
      <c r="A4216" s="102">
        <v>44450</v>
      </c>
      <c r="B4216">
        <v>19</v>
      </c>
      <c r="C4216" s="106">
        <v>821444</v>
      </c>
    </row>
    <row r="4217" spans="1:3">
      <c r="A4217" s="102">
        <v>44451</v>
      </c>
      <c r="B4217">
        <v>19</v>
      </c>
      <c r="C4217" s="106">
        <v>821444</v>
      </c>
    </row>
    <row r="4218" spans="1:3">
      <c r="A4218" s="102">
        <v>44452</v>
      </c>
      <c r="B4218">
        <v>0</v>
      </c>
      <c r="C4218" s="106">
        <v>828012</v>
      </c>
    </row>
    <row r="4219" spans="1:3">
      <c r="A4219" s="102">
        <v>44453</v>
      </c>
      <c r="B4219">
        <v>14</v>
      </c>
      <c r="C4219" s="106">
        <v>822054</v>
      </c>
    </row>
    <row r="4220" spans="1:3">
      <c r="A4220" s="102">
        <v>44454</v>
      </c>
      <c r="B4220">
        <v>0</v>
      </c>
      <c r="C4220" s="106">
        <v>582744</v>
      </c>
    </row>
    <row r="4221" spans="1:3">
      <c r="A4221" s="102">
        <v>44455</v>
      </c>
      <c r="B4221">
        <v>0</v>
      </c>
      <c r="C4221" s="106">
        <v>567601</v>
      </c>
    </row>
    <row r="4222" spans="1:3">
      <c r="A4222" s="102">
        <v>44456</v>
      </c>
      <c r="B4222">
        <v>0</v>
      </c>
      <c r="C4222" s="106">
        <v>579741</v>
      </c>
    </row>
    <row r="4223" spans="1:3">
      <c r="A4223" s="102">
        <v>44457</v>
      </c>
      <c r="B4223">
        <v>0</v>
      </c>
      <c r="C4223" s="106">
        <v>579741</v>
      </c>
    </row>
    <row r="4224" spans="1:3">
      <c r="A4224" s="102">
        <v>44458</v>
      </c>
      <c r="B4224">
        <v>0</v>
      </c>
      <c r="C4224" s="106">
        <v>579741</v>
      </c>
    </row>
    <row r="4225" spans="1:3">
      <c r="A4225" s="102">
        <v>44459</v>
      </c>
      <c r="B4225">
        <v>0</v>
      </c>
      <c r="C4225" s="106">
        <v>591620</v>
      </c>
    </row>
    <row r="4226" spans="1:3">
      <c r="A4226" s="102">
        <v>44460</v>
      </c>
      <c r="B4226">
        <v>0</v>
      </c>
      <c r="C4226" s="106">
        <v>588505</v>
      </c>
    </row>
    <row r="4227" spans="1:3">
      <c r="A4227" s="102">
        <v>44461</v>
      </c>
      <c r="B4227" s="308">
        <v>79</v>
      </c>
      <c r="C4227" s="106">
        <v>643434</v>
      </c>
    </row>
    <row r="4228" spans="1:3">
      <c r="A4228" s="102">
        <v>44462</v>
      </c>
      <c r="B4228" s="308">
        <v>15</v>
      </c>
      <c r="C4228" s="106">
        <v>653061</v>
      </c>
    </row>
    <row r="4229" spans="1:3">
      <c r="A4229" s="102">
        <v>44463</v>
      </c>
      <c r="B4229" s="308">
        <v>18</v>
      </c>
      <c r="C4229" s="106">
        <v>686218</v>
      </c>
    </row>
    <row r="4230" spans="1:3">
      <c r="A4230" s="102">
        <v>44464</v>
      </c>
      <c r="B4230" s="308">
        <v>18</v>
      </c>
      <c r="C4230" s="106">
        <v>686218</v>
      </c>
    </row>
    <row r="4231" spans="1:3">
      <c r="A4231" s="102">
        <v>44465</v>
      </c>
      <c r="B4231" s="308">
        <v>18</v>
      </c>
      <c r="C4231" s="106">
        <v>686218</v>
      </c>
    </row>
    <row r="4232" spans="1:3">
      <c r="A4232" s="102">
        <v>44466</v>
      </c>
      <c r="B4232" s="308">
        <v>8</v>
      </c>
      <c r="C4232" s="106">
        <v>694243</v>
      </c>
    </row>
    <row r="4233" spans="1:3">
      <c r="A4233" s="102">
        <v>44467</v>
      </c>
      <c r="B4233" s="308">
        <v>0</v>
      </c>
      <c r="C4233" s="106">
        <v>744856</v>
      </c>
    </row>
    <row r="4234" spans="1:3">
      <c r="A4234" s="102">
        <v>44468</v>
      </c>
      <c r="B4234" s="308">
        <v>0</v>
      </c>
      <c r="C4234" s="106">
        <v>744980</v>
      </c>
    </row>
    <row r="4235" spans="1:3">
      <c r="A4235" s="102">
        <v>44469</v>
      </c>
      <c r="B4235" s="308">
        <v>0</v>
      </c>
      <c r="C4235" s="106">
        <v>775009</v>
      </c>
    </row>
    <row r="4236" spans="1:3">
      <c r="A4236" s="102">
        <v>44470</v>
      </c>
      <c r="B4236" s="308">
        <v>0</v>
      </c>
      <c r="C4236" s="106">
        <v>771105</v>
      </c>
    </row>
    <row r="4237" spans="1:3">
      <c r="A4237" s="102">
        <v>44471</v>
      </c>
      <c r="B4237" s="308">
        <v>0</v>
      </c>
      <c r="C4237" s="106">
        <v>771105</v>
      </c>
    </row>
    <row r="4238" spans="1:3">
      <c r="A4238" s="102">
        <v>44472</v>
      </c>
      <c r="B4238" s="308">
        <v>0</v>
      </c>
      <c r="C4238" s="106">
        <v>771105</v>
      </c>
    </row>
    <row r="4239" spans="1:3">
      <c r="A4239" s="102">
        <v>44473</v>
      </c>
      <c r="B4239" s="308">
        <v>0</v>
      </c>
      <c r="C4239" s="106">
        <v>781355</v>
      </c>
    </row>
    <row r="4240" spans="1:3">
      <c r="A4240" s="102">
        <v>44474</v>
      </c>
      <c r="B4240" s="308">
        <v>0</v>
      </c>
      <c r="C4240" s="106">
        <v>784230</v>
      </c>
    </row>
    <row r="4241" spans="1:3">
      <c r="A4241" s="102">
        <v>44475</v>
      </c>
      <c r="B4241">
        <v>0</v>
      </c>
      <c r="C4241" s="106">
        <v>773695</v>
      </c>
    </row>
    <row r="4242" spans="1:3">
      <c r="A4242" s="102">
        <v>44476</v>
      </c>
      <c r="B4242">
        <v>1</v>
      </c>
      <c r="C4242" s="106">
        <v>774071</v>
      </c>
    </row>
    <row r="4243" spans="1:3">
      <c r="A4243" s="102">
        <v>44477</v>
      </c>
      <c r="B4243">
        <v>0</v>
      </c>
      <c r="C4243" s="106">
        <v>779628</v>
      </c>
    </row>
    <row r="4244" spans="1:3">
      <c r="A4244" s="102">
        <v>44478</v>
      </c>
      <c r="B4244">
        <v>0</v>
      </c>
      <c r="C4244" s="106">
        <v>779628</v>
      </c>
    </row>
    <row r="4245" spans="1:3">
      <c r="A4245" s="102">
        <v>44479</v>
      </c>
      <c r="B4245">
        <v>0</v>
      </c>
      <c r="C4245" s="106">
        <v>779628</v>
      </c>
    </row>
    <row r="4246" spans="1:3">
      <c r="A4246" s="102">
        <v>44480</v>
      </c>
      <c r="B4246">
        <v>0</v>
      </c>
      <c r="C4246" s="106">
        <v>776324</v>
      </c>
    </row>
    <row r="4247" spans="1:3">
      <c r="A4247" s="102">
        <v>44481</v>
      </c>
      <c r="B4247">
        <v>0</v>
      </c>
      <c r="C4247" s="106">
        <v>769979</v>
      </c>
    </row>
    <row r="4248" spans="1:3">
      <c r="A4248" s="102">
        <v>44482</v>
      </c>
      <c r="B4248">
        <v>10</v>
      </c>
      <c r="C4248" s="106">
        <v>779426</v>
      </c>
    </row>
    <row r="4249" spans="1:3">
      <c r="A4249" s="102">
        <v>44483</v>
      </c>
      <c r="B4249">
        <v>0</v>
      </c>
      <c r="C4249" s="106">
        <v>778675</v>
      </c>
    </row>
    <row r="4250" spans="1:3">
      <c r="A4250" s="102">
        <v>44484</v>
      </c>
      <c r="B4250">
        <v>3</v>
      </c>
      <c r="C4250" s="106">
        <v>775115</v>
      </c>
    </row>
    <row r="4251" spans="1:3">
      <c r="A4251" s="102">
        <v>44485</v>
      </c>
      <c r="B4251">
        <v>3</v>
      </c>
      <c r="C4251" s="106">
        <v>775115</v>
      </c>
    </row>
    <row r="4252" spans="1:3">
      <c r="A4252" s="102">
        <v>44486</v>
      </c>
      <c r="B4252">
        <v>3</v>
      </c>
      <c r="C4252" s="106">
        <v>775115</v>
      </c>
    </row>
    <row r="4253" spans="1:3">
      <c r="A4253" s="102">
        <v>44487</v>
      </c>
      <c r="B4253">
        <v>0</v>
      </c>
      <c r="C4253" s="106">
        <v>773009</v>
      </c>
    </row>
    <row r="4254" spans="1:3">
      <c r="A4254" s="102">
        <v>44488</v>
      </c>
      <c r="B4254">
        <v>10</v>
      </c>
      <c r="C4254" s="106">
        <v>779854</v>
      </c>
    </row>
    <row r="4255" spans="1:3">
      <c r="A4255" s="102">
        <v>44489</v>
      </c>
      <c r="B4255">
        <v>0</v>
      </c>
      <c r="C4255" s="106">
        <v>782341</v>
      </c>
    </row>
    <row r="4256" spans="1:3">
      <c r="A4256" s="102">
        <v>44490</v>
      </c>
      <c r="B4256">
        <v>0</v>
      </c>
      <c r="C4256" s="106">
        <v>776987</v>
      </c>
    </row>
    <row r="4257" spans="1:3">
      <c r="A4257" s="102">
        <v>44491</v>
      </c>
      <c r="B4257">
        <v>0</v>
      </c>
      <c r="C4257" s="106">
        <v>767575</v>
      </c>
    </row>
    <row r="4258" spans="1:3">
      <c r="A4258" s="102">
        <v>44492</v>
      </c>
      <c r="B4258">
        <v>0</v>
      </c>
      <c r="C4258" s="106">
        <v>767575</v>
      </c>
    </row>
    <row r="4259" spans="1:3">
      <c r="A4259" s="102">
        <v>44493</v>
      </c>
      <c r="B4259">
        <v>0</v>
      </c>
      <c r="C4259" s="106">
        <v>767575</v>
      </c>
    </row>
    <row r="4260" spans="1:3">
      <c r="A4260" s="102">
        <v>44494</v>
      </c>
      <c r="B4260">
        <v>0</v>
      </c>
      <c r="C4260" s="106">
        <v>787301</v>
      </c>
    </row>
    <row r="4261" spans="1:3">
      <c r="A4261" s="102">
        <v>44495</v>
      </c>
      <c r="B4261">
        <v>0</v>
      </c>
      <c r="C4261" s="106">
        <v>786672</v>
      </c>
    </row>
    <row r="4262" spans="1:3">
      <c r="A4262" s="102">
        <v>44496</v>
      </c>
      <c r="B4262">
        <v>3</v>
      </c>
      <c r="C4262" s="106">
        <v>787898</v>
      </c>
    </row>
    <row r="4263" spans="1:3">
      <c r="A4263" s="102">
        <v>44497</v>
      </c>
      <c r="B4263">
        <v>3</v>
      </c>
      <c r="C4263" s="106">
        <v>783143</v>
      </c>
    </row>
    <row r="4264" spans="1:3">
      <c r="A4264" s="102">
        <v>44498</v>
      </c>
      <c r="B4264">
        <v>2</v>
      </c>
      <c r="C4264" s="106">
        <v>805575</v>
      </c>
    </row>
    <row r="4265" spans="1:3">
      <c r="A4265" s="102">
        <v>44499</v>
      </c>
      <c r="B4265">
        <v>2</v>
      </c>
      <c r="C4265" s="106">
        <v>805575</v>
      </c>
    </row>
    <row r="4266" spans="1:3">
      <c r="A4266" s="102">
        <v>44500</v>
      </c>
      <c r="B4266">
        <v>2</v>
      </c>
      <c r="C4266" s="106">
        <v>805575</v>
      </c>
    </row>
    <row r="4267" spans="1:3">
      <c r="A4267" s="102">
        <v>44501</v>
      </c>
      <c r="B4267">
        <v>2</v>
      </c>
      <c r="C4267" s="106">
        <v>801820</v>
      </c>
    </row>
    <row r="4268" spans="1:3">
      <c r="A4268" s="102">
        <v>44502</v>
      </c>
      <c r="B4268">
        <v>2</v>
      </c>
      <c r="C4268" s="106">
        <v>828121</v>
      </c>
    </row>
    <row r="4269" spans="1:3">
      <c r="A4269" s="102">
        <v>44503</v>
      </c>
      <c r="B4269">
        <v>2</v>
      </c>
      <c r="C4269" s="106">
        <v>598601</v>
      </c>
    </row>
    <row r="4270" spans="1:3">
      <c r="A4270" s="102">
        <v>44504</v>
      </c>
      <c r="B4270">
        <v>0</v>
      </c>
      <c r="C4270" s="106">
        <v>603199</v>
      </c>
    </row>
    <row r="4271" spans="1:3">
      <c r="A4271" s="102">
        <v>44505</v>
      </c>
      <c r="B4271">
        <v>0</v>
      </c>
      <c r="C4271" s="106">
        <v>617519</v>
      </c>
    </row>
    <row r="4272" spans="1:3">
      <c r="A4272" s="102">
        <v>44506</v>
      </c>
      <c r="B4272">
        <v>0</v>
      </c>
      <c r="C4272" s="106">
        <v>617519</v>
      </c>
    </row>
    <row r="4273" spans="1:3">
      <c r="A4273" s="102">
        <v>44507</v>
      </c>
      <c r="B4273">
        <v>0</v>
      </c>
      <c r="C4273" s="106">
        <v>617519</v>
      </c>
    </row>
    <row r="4274" spans="1:3">
      <c r="A4274" s="102">
        <v>44508</v>
      </c>
      <c r="B4274">
        <v>0</v>
      </c>
      <c r="C4274" s="106">
        <v>633310</v>
      </c>
    </row>
    <row r="4275" spans="1:3">
      <c r="A4275" s="102">
        <v>44509</v>
      </c>
      <c r="B4275">
        <v>0</v>
      </c>
      <c r="C4275" s="106">
        <v>634178</v>
      </c>
    </row>
    <row r="4276" spans="1:3">
      <c r="A4276" s="102">
        <v>44510</v>
      </c>
      <c r="B4276">
        <v>0</v>
      </c>
      <c r="C4276" s="106">
        <v>649681</v>
      </c>
    </row>
    <row r="4277" spans="1:3">
      <c r="A4277" s="102">
        <v>44511</v>
      </c>
      <c r="B4277">
        <v>0</v>
      </c>
      <c r="C4277" s="106">
        <v>693380</v>
      </c>
    </row>
    <row r="4278" spans="1:3">
      <c r="A4278" s="102">
        <v>44512</v>
      </c>
      <c r="B4278">
        <v>0</v>
      </c>
      <c r="C4278" s="106">
        <v>731358</v>
      </c>
    </row>
    <row r="4279" spans="1:3">
      <c r="A4279" s="102">
        <v>44513</v>
      </c>
      <c r="B4279">
        <v>0</v>
      </c>
      <c r="C4279" s="106">
        <v>731358</v>
      </c>
    </row>
    <row r="4280" spans="1:3">
      <c r="A4280" s="102">
        <v>44514</v>
      </c>
      <c r="B4280">
        <v>0</v>
      </c>
      <c r="C4280" s="106">
        <v>731358</v>
      </c>
    </row>
    <row r="4281" spans="1:3">
      <c r="A4281" s="102">
        <v>44515</v>
      </c>
      <c r="B4281">
        <v>10</v>
      </c>
      <c r="C4281" s="106">
        <v>779917</v>
      </c>
    </row>
    <row r="4282" spans="1:3">
      <c r="A4282" s="102">
        <v>44516</v>
      </c>
      <c r="B4282">
        <v>0</v>
      </c>
      <c r="C4282" s="106">
        <v>786177</v>
      </c>
    </row>
    <row r="4283" spans="1:3">
      <c r="A4283" s="102">
        <v>44517</v>
      </c>
      <c r="B4283">
        <v>3</v>
      </c>
      <c r="C4283" s="106">
        <v>783467</v>
      </c>
    </row>
    <row r="4284" spans="1:3">
      <c r="A4284" s="102">
        <v>44518</v>
      </c>
      <c r="B4284">
        <v>0</v>
      </c>
      <c r="C4284" s="106">
        <v>777529</v>
      </c>
    </row>
    <row r="4285" spans="1:3">
      <c r="A4285" s="102">
        <v>44519</v>
      </c>
      <c r="B4285">
        <v>3</v>
      </c>
      <c r="C4285" s="106">
        <v>767795</v>
      </c>
    </row>
    <row r="4286" spans="1:3">
      <c r="A4286" s="102">
        <v>44520</v>
      </c>
      <c r="B4286">
        <v>3</v>
      </c>
      <c r="C4286" s="106">
        <v>767795</v>
      </c>
    </row>
    <row r="4287" spans="1:3">
      <c r="A4287" s="102">
        <v>44521</v>
      </c>
      <c r="B4287">
        <v>3</v>
      </c>
      <c r="C4287" s="106">
        <v>767795</v>
      </c>
    </row>
    <row r="4288" spans="1:3">
      <c r="A4288" s="102">
        <v>44522</v>
      </c>
      <c r="B4288">
        <v>3</v>
      </c>
      <c r="C4288" s="106">
        <v>765091</v>
      </c>
    </row>
    <row r="4289" spans="1:3">
      <c r="A4289" s="102">
        <v>44523</v>
      </c>
      <c r="B4289">
        <v>0</v>
      </c>
      <c r="C4289" s="106">
        <v>767189</v>
      </c>
    </row>
    <row r="4290" spans="1:3">
      <c r="A4290" s="102">
        <v>44524</v>
      </c>
      <c r="B4290">
        <v>1</v>
      </c>
      <c r="C4290" s="106">
        <v>762954</v>
      </c>
    </row>
    <row r="4291" spans="1:3">
      <c r="A4291" s="102">
        <v>44525</v>
      </c>
      <c r="B4291">
        <v>1</v>
      </c>
      <c r="C4291" s="106">
        <v>767605</v>
      </c>
    </row>
    <row r="4292" spans="1:3">
      <c r="A4292" s="102">
        <v>44526</v>
      </c>
      <c r="B4292">
        <v>0</v>
      </c>
      <c r="C4292" s="106">
        <v>771470</v>
      </c>
    </row>
    <row r="4293" spans="1:3">
      <c r="A4293" s="102">
        <v>44527</v>
      </c>
      <c r="B4293">
        <v>0</v>
      </c>
      <c r="C4293" s="106">
        <v>771470</v>
      </c>
    </row>
    <row r="4294" spans="1:3">
      <c r="A4294" s="102">
        <v>44528</v>
      </c>
      <c r="B4294">
        <v>0</v>
      </c>
      <c r="C4294" s="106">
        <v>771470</v>
      </c>
    </row>
    <row r="4295" spans="1:3">
      <c r="A4295" s="102">
        <v>44529</v>
      </c>
      <c r="B4295">
        <v>0</v>
      </c>
      <c r="C4295" s="106">
        <v>786639</v>
      </c>
    </row>
    <row r="4296" spans="1:3">
      <c r="A4296" s="102">
        <v>44530</v>
      </c>
      <c r="B4296">
        <v>1</v>
      </c>
      <c r="C4296" s="106">
        <v>821841</v>
      </c>
    </row>
    <row r="4297" spans="1:3">
      <c r="A4297" s="102">
        <v>44531</v>
      </c>
      <c r="B4297">
        <v>0</v>
      </c>
      <c r="C4297" s="106">
        <v>812644</v>
      </c>
    </row>
    <row r="4298" spans="1:3">
      <c r="A4298" s="102">
        <v>44532</v>
      </c>
      <c r="B4298">
        <v>0</v>
      </c>
      <c r="C4298" s="106">
        <v>747338</v>
      </c>
    </row>
    <row r="4299" spans="1:3">
      <c r="A4299" s="102">
        <v>44533</v>
      </c>
      <c r="B4299">
        <v>0</v>
      </c>
      <c r="C4299" s="106">
        <v>793617</v>
      </c>
    </row>
    <row r="4300" spans="1:3">
      <c r="A4300" s="102">
        <v>44534</v>
      </c>
      <c r="B4300">
        <v>0</v>
      </c>
      <c r="C4300" s="106">
        <v>793617</v>
      </c>
    </row>
    <row r="4301" spans="1:3">
      <c r="A4301" s="102">
        <v>44535</v>
      </c>
      <c r="B4301">
        <v>0</v>
      </c>
      <c r="C4301" s="106">
        <v>793617</v>
      </c>
    </row>
    <row r="4302" spans="1:3">
      <c r="A4302" s="102">
        <v>44536</v>
      </c>
      <c r="B4302">
        <v>1</v>
      </c>
      <c r="C4302" s="106">
        <v>780738</v>
      </c>
    </row>
    <row r="4303" spans="1:3">
      <c r="A4303" s="102">
        <v>44537</v>
      </c>
      <c r="B4303">
        <v>0</v>
      </c>
      <c r="C4303" s="106">
        <v>784944</v>
      </c>
    </row>
    <row r="4304" spans="1:3">
      <c r="A4304" s="102">
        <v>44538</v>
      </c>
      <c r="B4304">
        <v>0</v>
      </c>
      <c r="C4304" s="106">
        <v>787107</v>
      </c>
    </row>
    <row r="4305" spans="1:3">
      <c r="A4305" s="102">
        <v>44539</v>
      </c>
      <c r="B4305">
        <v>0</v>
      </c>
      <c r="C4305" s="106">
        <v>790304</v>
      </c>
    </row>
    <row r="4306" spans="1:3">
      <c r="A4306" s="102">
        <v>44540</v>
      </c>
      <c r="B4306">
        <v>16</v>
      </c>
      <c r="C4306" s="106">
        <v>785395</v>
      </c>
    </row>
    <row r="4307" spans="1:3">
      <c r="A4307" s="102">
        <v>44541</v>
      </c>
      <c r="B4307">
        <v>16</v>
      </c>
      <c r="C4307" s="106">
        <v>785395</v>
      </c>
    </row>
    <row r="4308" spans="1:3">
      <c r="A4308" s="102">
        <v>44542</v>
      </c>
      <c r="B4308">
        <v>16</v>
      </c>
      <c r="C4308" s="106">
        <v>785395</v>
      </c>
    </row>
    <row r="4309" spans="1:3">
      <c r="A4309" s="102">
        <v>44543</v>
      </c>
      <c r="B4309">
        <v>0</v>
      </c>
      <c r="C4309" s="106">
        <v>774584</v>
      </c>
    </row>
    <row r="4310" spans="1:3">
      <c r="A4310" s="102">
        <v>44544</v>
      </c>
      <c r="B4310">
        <v>0</v>
      </c>
      <c r="C4310" s="106">
        <v>762827</v>
      </c>
    </row>
    <row r="4311" spans="1:3">
      <c r="A4311" s="102">
        <v>44545</v>
      </c>
      <c r="B4311">
        <v>2</v>
      </c>
      <c r="C4311" s="106">
        <v>756035</v>
      </c>
    </row>
    <row r="4312" spans="1:3">
      <c r="A4312" s="102">
        <v>44546</v>
      </c>
      <c r="B4312">
        <v>0</v>
      </c>
      <c r="C4312" s="106">
        <v>747782</v>
      </c>
    </row>
    <row r="4313" spans="1:3">
      <c r="A4313" s="102">
        <v>44547</v>
      </c>
      <c r="B4313">
        <v>0</v>
      </c>
      <c r="C4313" s="106">
        <v>759337</v>
      </c>
    </row>
    <row r="4314" spans="1:3">
      <c r="A4314" s="102">
        <v>44548</v>
      </c>
      <c r="B4314">
        <v>0</v>
      </c>
      <c r="C4314" s="106">
        <v>759337</v>
      </c>
    </row>
    <row r="4315" spans="1:3">
      <c r="A4315" s="102">
        <v>44549</v>
      </c>
      <c r="B4315">
        <v>0</v>
      </c>
      <c r="C4315" s="106">
        <v>759337</v>
      </c>
    </row>
    <row r="4316" spans="1:3">
      <c r="A4316" s="102">
        <v>44550</v>
      </c>
      <c r="B4316">
        <v>0</v>
      </c>
      <c r="C4316" s="106">
        <v>733286</v>
      </c>
    </row>
    <row r="4317" spans="1:3">
      <c r="A4317" s="102">
        <v>44551</v>
      </c>
      <c r="B4317">
        <v>0</v>
      </c>
      <c r="C4317" s="106">
        <v>738851</v>
      </c>
    </row>
    <row r="4318" spans="1:3">
      <c r="A4318" s="102">
        <v>44552</v>
      </c>
      <c r="B4318">
        <v>0</v>
      </c>
      <c r="C4318" s="106">
        <v>685413</v>
      </c>
    </row>
    <row r="4319" spans="1:3">
      <c r="A4319" s="102">
        <v>44553</v>
      </c>
      <c r="B4319">
        <v>0</v>
      </c>
      <c r="C4319" s="106">
        <v>682567</v>
      </c>
    </row>
    <row r="4320" spans="1:3">
      <c r="A4320" s="102">
        <v>44554</v>
      </c>
      <c r="B4320">
        <v>0</v>
      </c>
      <c r="C4320" s="106">
        <v>678711</v>
      </c>
    </row>
    <row r="4321" spans="1:3">
      <c r="A4321" s="102">
        <v>44555</v>
      </c>
      <c r="B4321">
        <v>0</v>
      </c>
      <c r="C4321" s="106">
        <v>678711</v>
      </c>
    </row>
    <row r="4322" spans="1:3">
      <c r="A4322" s="102">
        <v>44556</v>
      </c>
      <c r="B4322">
        <v>0</v>
      </c>
      <c r="C4322" s="106">
        <v>678711</v>
      </c>
    </row>
    <row r="4323" spans="1:3">
      <c r="A4323" s="102">
        <v>44557</v>
      </c>
      <c r="B4323">
        <v>0</v>
      </c>
      <c r="C4323" s="106">
        <v>684311</v>
      </c>
    </row>
    <row r="4324" spans="1:3">
      <c r="A4324" s="102">
        <v>44558</v>
      </c>
      <c r="B4324">
        <v>0</v>
      </c>
      <c r="C4324" s="106">
        <v>677727</v>
      </c>
    </row>
    <row r="4325" spans="1:3">
      <c r="A4325" s="102">
        <v>44559</v>
      </c>
      <c r="B4325">
        <v>0</v>
      </c>
      <c r="C4325" s="106">
        <v>692774</v>
      </c>
    </row>
    <row r="4326" spans="1:3">
      <c r="A4326" s="102">
        <v>44560</v>
      </c>
      <c r="B4326">
        <v>39</v>
      </c>
      <c r="C4326" s="106">
        <v>713870</v>
      </c>
    </row>
    <row r="4327" spans="1:3">
      <c r="A4327" s="102">
        <v>44561</v>
      </c>
      <c r="B4327">
        <v>0</v>
      </c>
      <c r="C4327" s="106">
        <v>779596</v>
      </c>
    </row>
    <row r="4328" spans="1:3">
      <c r="A4328" s="102">
        <v>44562</v>
      </c>
      <c r="B4328">
        <v>0</v>
      </c>
      <c r="C4328" s="106">
        <v>779596</v>
      </c>
    </row>
    <row r="4329" spans="1:3">
      <c r="A4329" s="102">
        <v>44563</v>
      </c>
      <c r="B4329">
        <v>0</v>
      </c>
      <c r="C4329" s="106">
        <v>779596</v>
      </c>
    </row>
    <row r="4330" spans="1:3">
      <c r="A4330" s="102">
        <v>44564</v>
      </c>
      <c r="B4330">
        <v>70</v>
      </c>
      <c r="C4330" s="106">
        <v>650477</v>
      </c>
    </row>
    <row r="4331" spans="1:3">
      <c r="A4331" s="102">
        <v>44565</v>
      </c>
      <c r="B4331">
        <v>0</v>
      </c>
      <c r="C4331" s="106">
        <v>635240</v>
      </c>
    </row>
    <row r="4332" spans="1:3">
      <c r="A4332" s="102">
        <v>44566</v>
      </c>
      <c r="B4332">
        <v>0</v>
      </c>
      <c r="C4332" s="106">
        <v>639707</v>
      </c>
    </row>
    <row r="4333" spans="1:3">
      <c r="A4333" s="102">
        <v>44567</v>
      </c>
      <c r="B4333">
        <v>0</v>
      </c>
      <c r="C4333" s="106">
        <v>643781</v>
      </c>
    </row>
    <row r="4334" spans="1:3">
      <c r="A4334" s="102">
        <v>44568</v>
      </c>
      <c r="B4334">
        <v>0</v>
      </c>
      <c r="C4334" s="106">
        <v>644497</v>
      </c>
    </row>
    <row r="4335" spans="1:3">
      <c r="A4335" s="102">
        <v>44569</v>
      </c>
      <c r="B4335">
        <v>0</v>
      </c>
      <c r="C4335" s="106">
        <v>644497</v>
      </c>
    </row>
    <row r="4336" spans="1:3">
      <c r="A4336" s="102">
        <v>44570</v>
      </c>
      <c r="B4336">
        <v>0</v>
      </c>
      <c r="C4336" s="106">
        <v>644497</v>
      </c>
    </row>
    <row r="4337" spans="1:3">
      <c r="A4337" s="102">
        <v>44571</v>
      </c>
      <c r="B4337">
        <v>0</v>
      </c>
      <c r="C4337" s="106">
        <v>658990</v>
      </c>
    </row>
    <row r="4338" spans="1:3">
      <c r="A4338" s="102">
        <v>44572</v>
      </c>
      <c r="B4338">
        <v>0</v>
      </c>
      <c r="C4338" s="106">
        <v>662454</v>
      </c>
    </row>
    <row r="4339" spans="1:3">
      <c r="A4339" s="102">
        <v>44573</v>
      </c>
      <c r="B4339">
        <v>0</v>
      </c>
      <c r="C4339" s="106">
        <v>694475</v>
      </c>
    </row>
    <row r="4340" spans="1:3">
      <c r="A4340" s="102">
        <v>44574</v>
      </c>
      <c r="B4340">
        <v>0</v>
      </c>
      <c r="C4340" s="106">
        <v>719468</v>
      </c>
    </row>
    <row r="4341" spans="1:3">
      <c r="A4341" s="102">
        <v>44575</v>
      </c>
      <c r="B4341">
        <v>0</v>
      </c>
      <c r="C4341" s="106">
        <v>705449</v>
      </c>
    </row>
    <row r="4342" spans="1:3">
      <c r="A4342" s="102">
        <v>44576</v>
      </c>
      <c r="B4342">
        <v>0</v>
      </c>
      <c r="C4342" s="106">
        <v>705449</v>
      </c>
    </row>
    <row r="4343" spans="1:3">
      <c r="A4343" s="102">
        <v>44577</v>
      </c>
      <c r="B4343">
        <v>0</v>
      </c>
      <c r="C4343" s="106">
        <v>705449</v>
      </c>
    </row>
    <row r="4344" spans="1:3">
      <c r="A4344" s="102">
        <v>44578</v>
      </c>
      <c r="B4344">
        <v>0</v>
      </c>
      <c r="C4344" s="106">
        <v>711266</v>
      </c>
    </row>
    <row r="4345" spans="1:3">
      <c r="A4345" s="102">
        <v>44579</v>
      </c>
      <c r="B4345">
        <v>0</v>
      </c>
      <c r="C4345" s="106">
        <v>779576</v>
      </c>
    </row>
    <row r="4346" spans="1:3">
      <c r="A4346" s="102">
        <v>44580</v>
      </c>
      <c r="B4346">
        <v>0</v>
      </c>
      <c r="C4346" s="106">
        <v>782145</v>
      </c>
    </row>
    <row r="4347" spans="1:3">
      <c r="A4347" s="102">
        <v>44581</v>
      </c>
      <c r="B4347">
        <v>0</v>
      </c>
      <c r="C4347" s="106">
        <v>780367</v>
      </c>
    </row>
    <row r="4348" spans="1:3">
      <c r="A4348" s="102">
        <v>44582</v>
      </c>
      <c r="B4348">
        <v>0</v>
      </c>
      <c r="C4348" s="106">
        <v>782386</v>
      </c>
    </row>
    <row r="4349" spans="1:3">
      <c r="A4349" s="102">
        <v>44583</v>
      </c>
      <c r="B4349">
        <v>0</v>
      </c>
      <c r="C4349" s="106">
        <v>782386</v>
      </c>
    </row>
    <row r="4350" spans="1:3">
      <c r="A4350" s="102">
        <v>44584</v>
      </c>
      <c r="B4350">
        <v>0</v>
      </c>
      <c r="C4350" s="106">
        <v>782386</v>
      </c>
    </row>
    <row r="4351" spans="1:3">
      <c r="A4351" s="102">
        <v>44585</v>
      </c>
      <c r="B4351">
        <v>0</v>
      </c>
      <c r="C4351" s="106">
        <v>780914</v>
      </c>
    </row>
    <row r="4352" spans="1:3">
      <c r="A4352" s="102">
        <v>44586</v>
      </c>
      <c r="B4352">
        <v>0</v>
      </c>
      <c r="C4352" s="106">
        <v>774727</v>
      </c>
    </row>
    <row r="4353" spans="1:3">
      <c r="A4353" s="102">
        <v>44587</v>
      </c>
      <c r="B4353">
        <v>0</v>
      </c>
      <c r="C4353" s="106">
        <v>777357</v>
      </c>
    </row>
    <row r="4354" spans="1:3">
      <c r="A4354" s="102">
        <v>44588</v>
      </c>
      <c r="B4354">
        <v>0</v>
      </c>
      <c r="C4354" s="106">
        <v>779589</v>
      </c>
    </row>
    <row r="4355" spans="1:3">
      <c r="A4355" s="102">
        <v>44589</v>
      </c>
      <c r="B4355">
        <v>0</v>
      </c>
      <c r="C4355" s="106">
        <v>776826</v>
      </c>
    </row>
    <row r="4356" spans="1:3">
      <c r="A4356" s="102">
        <v>44590</v>
      </c>
      <c r="B4356">
        <v>0</v>
      </c>
      <c r="C4356" s="106">
        <v>776826</v>
      </c>
    </row>
    <row r="4357" spans="1:3">
      <c r="A4357" s="102">
        <v>44591</v>
      </c>
      <c r="B4357">
        <v>0</v>
      </c>
      <c r="C4357" s="106">
        <v>776826</v>
      </c>
    </row>
    <row r="4358" spans="1:3">
      <c r="A4358" s="102">
        <v>44592</v>
      </c>
      <c r="B4358">
        <v>1</v>
      </c>
      <c r="C4358" s="106">
        <v>814033</v>
      </c>
    </row>
    <row r="4359" spans="1:3">
      <c r="A4359" s="102">
        <v>44593</v>
      </c>
      <c r="B4359">
        <v>0</v>
      </c>
      <c r="C4359" s="106">
        <v>813911</v>
      </c>
    </row>
    <row r="4360" spans="1:3">
      <c r="A4360" s="102">
        <v>44594</v>
      </c>
      <c r="B4360">
        <v>0</v>
      </c>
      <c r="C4360" s="106">
        <v>816559</v>
      </c>
    </row>
    <row r="4361" spans="1:3">
      <c r="A4361" s="102">
        <v>44595</v>
      </c>
      <c r="B4361">
        <v>0</v>
      </c>
      <c r="C4361" s="106">
        <v>802346</v>
      </c>
    </row>
    <row r="4362" spans="1:3">
      <c r="A4362" s="102">
        <v>44596</v>
      </c>
      <c r="B4362">
        <v>0</v>
      </c>
      <c r="C4362" s="106">
        <v>800706</v>
      </c>
    </row>
    <row r="4363" spans="1:3">
      <c r="A4363" s="102">
        <v>44597</v>
      </c>
      <c r="B4363">
        <v>0</v>
      </c>
      <c r="C4363" s="106">
        <v>800706</v>
      </c>
    </row>
    <row r="4364" spans="1:3">
      <c r="A4364" s="102">
        <v>44598</v>
      </c>
      <c r="B4364">
        <v>0</v>
      </c>
      <c r="C4364" s="106">
        <v>800706</v>
      </c>
    </row>
    <row r="4365" spans="1:3">
      <c r="A4365" s="102">
        <v>44599</v>
      </c>
      <c r="B4365">
        <v>0</v>
      </c>
      <c r="C4365" s="106">
        <v>809038</v>
      </c>
    </row>
    <row r="4366" spans="1:3">
      <c r="A4366" s="102">
        <v>44600</v>
      </c>
      <c r="B4366">
        <v>0</v>
      </c>
      <c r="C4366" s="106">
        <v>808372</v>
      </c>
    </row>
    <row r="4367" spans="1:3">
      <c r="A4367" s="102">
        <v>44601</v>
      </c>
      <c r="B4367">
        <v>118</v>
      </c>
      <c r="C4367" s="106">
        <v>611573</v>
      </c>
    </row>
    <row r="4368" spans="1:3">
      <c r="A4368" s="102">
        <v>44602</v>
      </c>
      <c r="B4368">
        <v>102</v>
      </c>
      <c r="C4368" s="106">
        <v>597189</v>
      </c>
    </row>
    <row r="4369" spans="1:3">
      <c r="A4369" s="102">
        <v>44603</v>
      </c>
      <c r="B4369">
        <v>66</v>
      </c>
      <c r="C4369" s="106">
        <v>607353</v>
      </c>
    </row>
    <row r="4370" spans="1:3">
      <c r="A4370" s="102">
        <v>44604</v>
      </c>
      <c r="B4370">
        <v>66</v>
      </c>
      <c r="C4370" s="106">
        <v>607353</v>
      </c>
    </row>
    <row r="4371" spans="1:3">
      <c r="A4371" s="102">
        <v>44605</v>
      </c>
      <c r="B4371">
        <v>66</v>
      </c>
      <c r="C4371" s="106">
        <v>607353</v>
      </c>
    </row>
    <row r="4372" spans="1:3">
      <c r="A4372" s="102">
        <v>44606</v>
      </c>
      <c r="B4372">
        <v>157</v>
      </c>
      <c r="C4372" s="106">
        <v>614955</v>
      </c>
    </row>
    <row r="4373" spans="1:3">
      <c r="A4373" s="102">
        <v>44607</v>
      </c>
      <c r="B4373">
        <v>14</v>
      </c>
      <c r="C4373" s="106">
        <v>664238</v>
      </c>
    </row>
    <row r="4374" spans="1:3">
      <c r="A4374" s="102">
        <v>44608</v>
      </c>
      <c r="B4374">
        <v>0</v>
      </c>
      <c r="C4374" s="106">
        <v>696656</v>
      </c>
    </row>
    <row r="4375" spans="1:3">
      <c r="A4375" s="102">
        <v>44609</v>
      </c>
      <c r="B4375">
        <v>9</v>
      </c>
      <c r="C4375" s="106">
        <v>696849</v>
      </c>
    </row>
    <row r="4376" spans="1:3">
      <c r="A4376" s="102">
        <v>44610</v>
      </c>
      <c r="B4376">
        <v>0</v>
      </c>
      <c r="C4376" s="106">
        <v>757894</v>
      </c>
    </row>
    <row r="4377" spans="1:3">
      <c r="A4377" s="102">
        <v>44611</v>
      </c>
      <c r="B4377">
        <v>0</v>
      </c>
      <c r="C4377" s="106">
        <v>757894</v>
      </c>
    </row>
    <row r="4378" spans="1:3">
      <c r="A4378" s="102">
        <v>44612</v>
      </c>
      <c r="B4378">
        <v>0</v>
      </c>
      <c r="C4378" s="106">
        <v>757894</v>
      </c>
    </row>
    <row r="4379" spans="1:3">
      <c r="A4379" s="102">
        <v>44613</v>
      </c>
      <c r="B4379">
        <v>1</v>
      </c>
      <c r="C4379" s="106">
        <v>756052</v>
      </c>
    </row>
    <row r="4380" spans="1:3">
      <c r="A4380" s="102">
        <v>44614</v>
      </c>
      <c r="B4380">
        <v>1</v>
      </c>
      <c r="C4380" s="106">
        <v>761644</v>
      </c>
    </row>
    <row r="4381" spans="1:3">
      <c r="A4381" s="102">
        <v>44615</v>
      </c>
      <c r="B4381">
        <v>151</v>
      </c>
      <c r="C4381" s="106">
        <v>769029</v>
      </c>
    </row>
    <row r="4382" spans="1:3">
      <c r="A4382" s="102">
        <v>44616</v>
      </c>
      <c r="B4382">
        <v>122</v>
      </c>
      <c r="C4382" s="106">
        <v>760953</v>
      </c>
    </row>
    <row r="4383" spans="1:3">
      <c r="A4383" s="102">
        <v>44617</v>
      </c>
      <c r="B4383">
        <v>0</v>
      </c>
      <c r="C4383" s="106">
        <v>758957</v>
      </c>
    </row>
    <row r="4384" spans="1:3">
      <c r="A4384" s="102">
        <v>44618</v>
      </c>
      <c r="B4384">
        <v>0</v>
      </c>
      <c r="C4384" s="106">
        <v>758957</v>
      </c>
    </row>
    <row r="4385" spans="1:3">
      <c r="A4385" s="102">
        <v>44619</v>
      </c>
      <c r="B4385">
        <v>0</v>
      </c>
      <c r="C4385" s="106">
        <v>758957</v>
      </c>
    </row>
    <row r="4386" spans="1:3">
      <c r="A4386" s="102">
        <v>44620</v>
      </c>
      <c r="B4386">
        <v>0</v>
      </c>
      <c r="C4386" s="106">
        <v>796252</v>
      </c>
    </row>
    <row r="4387" spans="1:3">
      <c r="A4387" s="102">
        <v>44621</v>
      </c>
      <c r="B4387">
        <v>0</v>
      </c>
      <c r="C4387" s="106">
        <v>793319</v>
      </c>
    </row>
    <row r="4388" spans="1:3">
      <c r="A4388" s="102">
        <v>44622</v>
      </c>
      <c r="B4388">
        <v>74</v>
      </c>
      <c r="C4388" s="106">
        <v>800457</v>
      </c>
    </row>
    <row r="4389" spans="1:3">
      <c r="A4389" s="102">
        <v>44623</v>
      </c>
      <c r="B4389">
        <v>60</v>
      </c>
      <c r="C4389" s="106">
        <v>798659</v>
      </c>
    </row>
    <row r="4390" spans="1:3">
      <c r="A4390" s="102">
        <v>44624</v>
      </c>
      <c r="B4390">
        <v>0</v>
      </c>
      <c r="C4390" s="106">
        <v>798641</v>
      </c>
    </row>
    <row r="4391" spans="1:3">
      <c r="A4391" s="102">
        <v>44625</v>
      </c>
      <c r="B4391">
        <v>0</v>
      </c>
      <c r="C4391" s="106">
        <v>798641</v>
      </c>
    </row>
    <row r="4392" spans="1:3">
      <c r="A4392" s="102">
        <v>44626</v>
      </c>
      <c r="B4392">
        <v>0</v>
      </c>
      <c r="C4392" s="106">
        <v>798641</v>
      </c>
    </row>
    <row r="4393" spans="1:3">
      <c r="A4393" s="102">
        <v>44627</v>
      </c>
      <c r="B4393">
        <v>0</v>
      </c>
      <c r="C4393" s="106">
        <v>798622</v>
      </c>
    </row>
    <row r="4394" spans="1:3">
      <c r="A4394" s="102">
        <v>44628</v>
      </c>
      <c r="B4394">
        <v>0</v>
      </c>
      <c r="C4394" s="106">
        <v>807260</v>
      </c>
    </row>
    <row r="4395" spans="1:3">
      <c r="A4395" s="102">
        <v>44629</v>
      </c>
      <c r="B4395">
        <v>0</v>
      </c>
      <c r="C4395" s="106">
        <v>803019</v>
      </c>
    </row>
    <row r="4396" spans="1:3">
      <c r="A4396" s="102">
        <v>44630</v>
      </c>
      <c r="B4396">
        <v>0</v>
      </c>
      <c r="C4396" s="106">
        <v>793764</v>
      </c>
    </row>
    <row r="4397" spans="1:3">
      <c r="A4397" s="102">
        <v>44631</v>
      </c>
      <c r="B4397">
        <v>0</v>
      </c>
      <c r="C4397" s="106">
        <v>809169</v>
      </c>
    </row>
    <row r="4398" spans="1:3">
      <c r="A4398" s="102">
        <v>44632</v>
      </c>
      <c r="B4398">
        <v>0</v>
      </c>
      <c r="C4398" s="106">
        <v>809169</v>
      </c>
    </row>
    <row r="4399" spans="1:3">
      <c r="A4399" s="102">
        <v>44633</v>
      </c>
      <c r="B4399">
        <v>0</v>
      </c>
      <c r="C4399" s="106">
        <v>809169</v>
      </c>
    </row>
    <row r="4400" spans="1:3">
      <c r="A4400" s="102">
        <v>44634</v>
      </c>
      <c r="B4400">
        <v>12</v>
      </c>
      <c r="C4400" s="106">
        <v>805017</v>
      </c>
    </row>
    <row r="4401" spans="1:3">
      <c r="A4401" s="102">
        <v>44635</v>
      </c>
      <c r="B4401">
        <v>10</v>
      </c>
      <c r="C4401" s="106">
        <v>787663</v>
      </c>
    </row>
    <row r="4402" spans="1:3">
      <c r="A4402" s="102">
        <v>44636</v>
      </c>
      <c r="B4402">
        <v>6</v>
      </c>
      <c r="C4402" s="106">
        <v>593401</v>
      </c>
    </row>
    <row r="4403" spans="1:3">
      <c r="A4403" s="102">
        <v>44637</v>
      </c>
      <c r="B4403">
        <v>1</v>
      </c>
      <c r="C4403" s="106">
        <v>589154</v>
      </c>
    </row>
    <row r="4404" spans="1:3">
      <c r="A4404" s="102">
        <v>44638</v>
      </c>
      <c r="B4404">
        <v>0</v>
      </c>
      <c r="C4404" s="106">
        <v>586972</v>
      </c>
    </row>
    <row r="4405" spans="1:3">
      <c r="A4405" s="102">
        <v>44639</v>
      </c>
      <c r="B4405">
        <v>0</v>
      </c>
      <c r="C4405" s="106">
        <v>586972</v>
      </c>
    </row>
    <row r="4406" spans="1:3">
      <c r="A4406" s="102">
        <v>44640</v>
      </c>
      <c r="B4406">
        <v>0</v>
      </c>
      <c r="C4406" s="106">
        <v>586972</v>
      </c>
    </row>
    <row r="4407" spans="1:3">
      <c r="A4407" s="102">
        <v>44641</v>
      </c>
      <c r="B4407">
        <v>0</v>
      </c>
      <c r="C4407" s="106">
        <v>609782</v>
      </c>
    </row>
    <row r="4408" spans="1:3">
      <c r="A4408" s="102">
        <v>44642</v>
      </c>
      <c r="B4408">
        <v>0</v>
      </c>
      <c r="C4408" s="106">
        <v>660690</v>
      </c>
    </row>
    <row r="4409" spans="1:3">
      <c r="A4409" s="102">
        <v>44643</v>
      </c>
      <c r="B4409">
        <v>0</v>
      </c>
      <c r="C4409" s="106">
        <v>691658</v>
      </c>
    </row>
    <row r="4410" spans="1:3">
      <c r="A4410" s="102">
        <v>44644</v>
      </c>
      <c r="B4410">
        <v>0</v>
      </c>
      <c r="C4410" s="106">
        <v>765066</v>
      </c>
    </row>
    <row r="4411" spans="1:3">
      <c r="A4411" s="102">
        <v>44645</v>
      </c>
      <c r="B4411">
        <v>0</v>
      </c>
      <c r="C4411" s="106">
        <v>763650</v>
      </c>
    </row>
    <row r="4412" spans="1:3">
      <c r="A4412" s="102">
        <v>44646</v>
      </c>
      <c r="B4412">
        <v>0</v>
      </c>
      <c r="C4412" s="106">
        <v>763650</v>
      </c>
    </row>
    <row r="4413" spans="1:3">
      <c r="A4413" s="102">
        <v>44647</v>
      </c>
      <c r="B4413">
        <v>0</v>
      </c>
      <c r="C4413" s="106">
        <v>763650</v>
      </c>
    </row>
    <row r="4414" spans="1:3">
      <c r="A4414" s="102">
        <v>44648</v>
      </c>
      <c r="B4414">
        <v>0</v>
      </c>
      <c r="C4414" s="106">
        <v>770599</v>
      </c>
    </row>
    <row r="4415" spans="1:3">
      <c r="A4415" s="102">
        <v>44649</v>
      </c>
      <c r="B4415">
        <v>0</v>
      </c>
      <c r="C4415" s="106">
        <v>765029</v>
      </c>
    </row>
    <row r="4416" spans="1:3">
      <c r="A4416" s="102">
        <v>44650</v>
      </c>
      <c r="B4416">
        <v>1</v>
      </c>
      <c r="C4416" s="106">
        <v>768423</v>
      </c>
    </row>
    <row r="4417" spans="1:3">
      <c r="A4417" s="102">
        <v>44651</v>
      </c>
      <c r="B4417">
        <v>50</v>
      </c>
      <c r="C4417" s="106">
        <v>821258</v>
      </c>
    </row>
    <row r="4418" spans="1:3">
      <c r="A4418" s="102">
        <v>44652</v>
      </c>
      <c r="B4418">
        <v>253</v>
      </c>
      <c r="C4418" s="106">
        <v>758179</v>
      </c>
    </row>
    <row r="4419" spans="1:3">
      <c r="A4419" s="102">
        <v>44653</v>
      </c>
      <c r="B4419">
        <v>253</v>
      </c>
      <c r="C4419" s="106">
        <v>758179</v>
      </c>
    </row>
    <row r="4420" spans="1:3">
      <c r="A4420" s="102">
        <v>44654</v>
      </c>
      <c r="B4420">
        <v>253</v>
      </c>
      <c r="C4420" s="106">
        <v>758179</v>
      </c>
    </row>
    <row r="4421" spans="1:3">
      <c r="A4421" s="102">
        <v>44655</v>
      </c>
      <c r="B4421">
        <v>216</v>
      </c>
      <c r="C4421" s="106">
        <v>747839</v>
      </c>
    </row>
    <row r="4422" spans="1:3">
      <c r="A4422" s="102">
        <v>44656</v>
      </c>
      <c r="B4422">
        <v>15</v>
      </c>
      <c r="C4422" s="106">
        <v>728597</v>
      </c>
    </row>
    <row r="4423" spans="1:3">
      <c r="A4423" s="102">
        <v>44657</v>
      </c>
      <c r="B4423">
        <v>18</v>
      </c>
      <c r="C4423" s="106">
        <v>720378</v>
      </c>
    </row>
    <row r="4424" spans="1:3">
      <c r="A4424" s="102">
        <v>44658</v>
      </c>
      <c r="B4424">
        <v>17</v>
      </c>
      <c r="C4424" s="106">
        <v>735354</v>
      </c>
    </row>
    <row r="4425" spans="1:3">
      <c r="A4425" s="102">
        <v>44659</v>
      </c>
      <c r="B4425">
        <v>10</v>
      </c>
      <c r="C4425" s="106">
        <v>733318</v>
      </c>
    </row>
    <row r="4426" spans="1:3">
      <c r="A4426" s="102">
        <v>44660</v>
      </c>
      <c r="B4426">
        <v>10</v>
      </c>
      <c r="C4426" s="106">
        <v>733318</v>
      </c>
    </row>
    <row r="4427" spans="1:3">
      <c r="A4427" s="102">
        <v>44661</v>
      </c>
      <c r="B4427">
        <v>10</v>
      </c>
      <c r="C4427" s="106">
        <v>733318</v>
      </c>
    </row>
    <row r="4428" spans="1:3">
      <c r="A4428" s="102">
        <v>44662</v>
      </c>
      <c r="B4428">
        <v>0</v>
      </c>
      <c r="C4428" s="106">
        <v>736494</v>
      </c>
    </row>
    <row r="4429" spans="1:3">
      <c r="A4429" s="102">
        <v>44663</v>
      </c>
      <c r="B4429">
        <v>61</v>
      </c>
      <c r="C4429" s="106">
        <v>733544</v>
      </c>
    </row>
    <row r="4430" spans="1:3">
      <c r="A4430" s="102">
        <v>44664</v>
      </c>
      <c r="B4430">
        <v>10</v>
      </c>
      <c r="C4430" s="106">
        <v>729908</v>
      </c>
    </row>
    <row r="4431" spans="1:3">
      <c r="A4431" s="102">
        <v>44665</v>
      </c>
      <c r="B4431">
        <v>1</v>
      </c>
      <c r="C4431" s="106">
        <v>720422</v>
      </c>
    </row>
    <row r="4432" spans="1:3">
      <c r="A4432" s="102">
        <v>44666</v>
      </c>
      <c r="B4432">
        <v>1</v>
      </c>
      <c r="C4432" s="106">
        <v>720422</v>
      </c>
    </row>
    <row r="4433" spans="1:3">
      <c r="A4433" s="102">
        <v>44667</v>
      </c>
      <c r="B4433">
        <v>1</v>
      </c>
      <c r="C4433" s="106">
        <v>720422</v>
      </c>
    </row>
    <row r="4434" spans="1:3">
      <c r="A4434" s="102">
        <v>44668</v>
      </c>
      <c r="B4434">
        <v>1</v>
      </c>
      <c r="C4434" s="106">
        <v>720422</v>
      </c>
    </row>
    <row r="4435" spans="1:3">
      <c r="A4435" s="102">
        <v>44669</v>
      </c>
      <c r="B4435">
        <v>1</v>
      </c>
      <c r="C4435" s="106">
        <v>720422</v>
      </c>
    </row>
    <row r="4436" spans="1:3">
      <c r="A4436" s="102">
        <v>44670</v>
      </c>
      <c r="B4436">
        <v>5</v>
      </c>
      <c r="C4436" s="106">
        <v>724788</v>
      </c>
    </row>
    <row r="4437" spans="1:3">
      <c r="A4437" s="102">
        <v>44671</v>
      </c>
      <c r="B4437">
        <v>5</v>
      </c>
      <c r="C4437" s="106">
        <v>572358</v>
      </c>
    </row>
    <row r="4438" spans="1:3">
      <c r="A4438" s="102">
        <v>44672</v>
      </c>
      <c r="B4438">
        <v>45</v>
      </c>
      <c r="C4438" s="106">
        <v>568218</v>
      </c>
    </row>
    <row r="4439" spans="1:3">
      <c r="A4439" s="102">
        <v>44673</v>
      </c>
      <c r="B4439">
        <v>45</v>
      </c>
      <c r="C4439" s="106">
        <v>562025</v>
      </c>
    </row>
    <row r="4440" spans="1:3">
      <c r="A4440" s="102">
        <v>44674</v>
      </c>
      <c r="B4440">
        <v>45</v>
      </c>
      <c r="C4440" s="106">
        <v>562025</v>
      </c>
    </row>
    <row r="4441" spans="1:3">
      <c r="A4441" s="102">
        <v>44675</v>
      </c>
      <c r="B4441">
        <v>45</v>
      </c>
      <c r="C4441" s="106">
        <v>562025</v>
      </c>
    </row>
    <row r="4442" spans="1:3">
      <c r="A4442" s="102">
        <v>44676</v>
      </c>
      <c r="B4442">
        <v>46</v>
      </c>
      <c r="C4442" s="106">
        <v>571162</v>
      </c>
    </row>
    <row r="4443" spans="1:3">
      <c r="A4443" s="102">
        <v>44677</v>
      </c>
      <c r="B4443">
        <v>6</v>
      </c>
      <c r="C4443" s="106">
        <v>577127</v>
      </c>
    </row>
    <row r="4444" spans="1:3">
      <c r="A4444" s="102">
        <v>44678</v>
      </c>
      <c r="B4444">
        <v>9</v>
      </c>
      <c r="C4444" s="106">
        <v>580982</v>
      </c>
    </row>
    <row r="4445" spans="1:3">
      <c r="A4445" s="102">
        <v>44679</v>
      </c>
      <c r="B4445">
        <v>62</v>
      </c>
      <c r="C4445" s="106">
        <v>593806</v>
      </c>
    </row>
    <row r="4446" spans="1:3">
      <c r="A4446" s="102">
        <v>44680</v>
      </c>
      <c r="B4446">
        <v>0</v>
      </c>
      <c r="C4446" s="106">
        <v>676416</v>
      </c>
    </row>
    <row r="4447" spans="1:3">
      <c r="A4447" s="102">
        <v>44681</v>
      </c>
      <c r="B4447">
        <v>0</v>
      </c>
      <c r="C4447" s="106">
        <v>676416</v>
      </c>
    </row>
    <row r="4448" spans="1:3">
      <c r="A4448" s="102">
        <v>44682</v>
      </c>
      <c r="B4448">
        <v>0</v>
      </c>
      <c r="C4448" s="106">
        <v>676416</v>
      </c>
    </row>
    <row r="4449" spans="1:3">
      <c r="A4449" s="102">
        <v>44683</v>
      </c>
      <c r="B4449">
        <v>0</v>
      </c>
      <c r="C4449" s="106">
        <v>721735</v>
      </c>
    </row>
    <row r="4450" spans="1:3">
      <c r="A4450" s="102">
        <v>44684</v>
      </c>
      <c r="B4450">
        <v>0</v>
      </c>
      <c r="C4450" s="106">
        <v>719968</v>
      </c>
    </row>
    <row r="4451" spans="1:3">
      <c r="A4451" s="102">
        <v>44685</v>
      </c>
      <c r="B4451">
        <v>0</v>
      </c>
      <c r="C4451" s="106">
        <v>724078</v>
      </c>
    </row>
    <row r="4452" spans="1:3">
      <c r="A4452" s="102">
        <v>44686</v>
      </c>
      <c r="B4452">
        <v>0</v>
      </c>
      <c r="C4452" s="106">
        <v>723284</v>
      </c>
    </row>
    <row r="4453" spans="1:3">
      <c r="A4453" s="102">
        <v>44687</v>
      </c>
      <c r="B4453">
        <v>2</v>
      </c>
      <c r="C4453" s="106">
        <v>713659</v>
      </c>
    </row>
    <row r="4454" spans="1:3">
      <c r="A4454" s="102">
        <v>44688</v>
      </c>
      <c r="B4454">
        <v>2</v>
      </c>
      <c r="C4454" s="106">
        <v>713659</v>
      </c>
    </row>
    <row r="4455" spans="1:3">
      <c r="A4455" s="102">
        <v>44689</v>
      </c>
      <c r="B4455">
        <v>2</v>
      </c>
      <c r="C4455" s="106">
        <v>713659</v>
      </c>
    </row>
    <row r="4456" spans="1:3">
      <c r="A4456" s="102">
        <v>44690</v>
      </c>
      <c r="B4456">
        <v>0</v>
      </c>
      <c r="C4456" s="106">
        <v>702022</v>
      </c>
    </row>
    <row r="4457" spans="1:3">
      <c r="A4457" s="102">
        <v>44691</v>
      </c>
      <c r="B4457">
        <v>0</v>
      </c>
      <c r="C4457" s="106">
        <v>686370</v>
      </c>
    </row>
    <row r="4458" spans="1:3">
      <c r="A4458" s="102">
        <v>44692</v>
      </c>
      <c r="B4458">
        <v>0</v>
      </c>
      <c r="C4458" s="106">
        <v>681124</v>
      </c>
    </row>
    <row r="4459" spans="1:3">
      <c r="A4459" s="102">
        <v>44693</v>
      </c>
      <c r="B4459">
        <v>0</v>
      </c>
      <c r="C4459" s="106">
        <v>659536</v>
      </c>
    </row>
    <row r="4460" spans="1:3">
      <c r="A4460" s="102">
        <v>44694</v>
      </c>
      <c r="B4460">
        <v>0</v>
      </c>
      <c r="C4460" s="106">
        <v>647810</v>
      </c>
    </row>
    <row r="4461" spans="1:3">
      <c r="A4461" s="102">
        <v>44695</v>
      </c>
      <c r="B4461">
        <v>0</v>
      </c>
      <c r="C4461" s="106">
        <v>647810</v>
      </c>
    </row>
    <row r="4462" spans="1:3">
      <c r="A4462" s="102">
        <v>44696</v>
      </c>
      <c r="B4462">
        <v>0</v>
      </c>
      <c r="C4462" s="106">
        <v>647810</v>
      </c>
    </row>
    <row r="4463" spans="1:3">
      <c r="A4463" s="102">
        <v>44697</v>
      </c>
      <c r="B4463">
        <v>5</v>
      </c>
      <c r="C4463" s="106">
        <v>683650</v>
      </c>
    </row>
    <row r="4464" spans="1:3">
      <c r="A4464" s="102">
        <v>44698</v>
      </c>
      <c r="B4464">
        <v>5</v>
      </c>
      <c r="C4464" s="106">
        <v>693913</v>
      </c>
    </row>
    <row r="4465" spans="1:3">
      <c r="A4465" s="102">
        <v>44699</v>
      </c>
      <c r="B4465">
        <v>0</v>
      </c>
      <c r="C4465" s="106">
        <v>704405</v>
      </c>
    </row>
    <row r="4466" spans="1:3">
      <c r="A4466" s="102">
        <v>44700</v>
      </c>
      <c r="B4466">
        <v>1</v>
      </c>
      <c r="C4466" s="106">
        <v>696427</v>
      </c>
    </row>
    <row r="4467" spans="1:3">
      <c r="A4467" s="102">
        <v>44701</v>
      </c>
      <c r="B4467">
        <v>0</v>
      </c>
      <c r="C4467" s="106">
        <v>678938</v>
      </c>
    </row>
    <row r="4468" spans="1:3">
      <c r="A4468" s="102">
        <v>44702</v>
      </c>
      <c r="B4468">
        <v>0</v>
      </c>
      <c r="C4468" s="106">
        <v>678938</v>
      </c>
    </row>
    <row r="4469" spans="1:3">
      <c r="A4469" s="102">
        <v>44703</v>
      </c>
      <c r="B4469">
        <v>0</v>
      </c>
      <c r="C4469" s="106">
        <v>678938</v>
      </c>
    </row>
    <row r="4470" spans="1:3">
      <c r="A4470" s="102">
        <v>44704</v>
      </c>
      <c r="B4470">
        <v>0</v>
      </c>
      <c r="C4470" s="106">
        <v>677726</v>
      </c>
    </row>
    <row r="4471" spans="1:3">
      <c r="A4471" s="102">
        <v>44705</v>
      </c>
      <c r="B4471">
        <v>0</v>
      </c>
      <c r="C4471" s="106">
        <v>684230</v>
      </c>
    </row>
    <row r="4472" spans="1:3">
      <c r="A4472" s="102">
        <v>44706</v>
      </c>
      <c r="B4472">
        <v>8</v>
      </c>
      <c r="C4472" s="106">
        <v>688725</v>
      </c>
    </row>
    <row r="4473" spans="1:3">
      <c r="A4473" s="102">
        <v>44707</v>
      </c>
      <c r="B4473">
        <v>0</v>
      </c>
      <c r="C4473" s="106">
        <v>695266</v>
      </c>
    </row>
    <row r="4474" spans="1:3">
      <c r="A4474" s="102">
        <v>44708</v>
      </c>
      <c r="B4474">
        <v>0</v>
      </c>
      <c r="C4474" s="106">
        <v>703178</v>
      </c>
    </row>
    <row r="4475" spans="1:3">
      <c r="A4475" s="102">
        <v>44709</v>
      </c>
      <c r="B4475">
        <v>0</v>
      </c>
      <c r="C4475" s="106">
        <v>703178</v>
      </c>
    </row>
    <row r="4476" spans="1:3">
      <c r="A4476" s="102">
        <v>44710</v>
      </c>
      <c r="B4476">
        <v>0</v>
      </c>
      <c r="C4476" s="106">
        <v>703178</v>
      </c>
    </row>
    <row r="4477" spans="1:3">
      <c r="A4477" s="102">
        <v>44711</v>
      </c>
      <c r="B4477">
        <v>0</v>
      </c>
      <c r="C4477" s="106">
        <v>707994</v>
      </c>
    </row>
    <row r="4478" spans="1:3">
      <c r="A4478" s="102">
        <v>44712</v>
      </c>
      <c r="B4478">
        <v>40</v>
      </c>
      <c r="C4478" s="106">
        <v>796596</v>
      </c>
    </row>
    <row r="4479" spans="1:3">
      <c r="A4479" s="102">
        <v>44713</v>
      </c>
      <c r="B4479">
        <v>0</v>
      </c>
      <c r="C4479" s="106">
        <v>704150</v>
      </c>
    </row>
    <row r="4480" spans="1:3">
      <c r="A4480" s="102">
        <v>44714</v>
      </c>
      <c r="B4480">
        <v>0</v>
      </c>
      <c r="C4480" s="106">
        <v>703405</v>
      </c>
    </row>
    <row r="4481" spans="1:3">
      <c r="A4481" s="102">
        <v>44715</v>
      </c>
      <c r="B4481">
        <v>0</v>
      </c>
      <c r="C4481" s="106">
        <v>706326</v>
      </c>
    </row>
    <row r="4482" spans="1:3">
      <c r="A4482" s="102">
        <v>44716</v>
      </c>
      <c r="B4482">
        <v>0</v>
      </c>
      <c r="C4482" s="106">
        <v>706326</v>
      </c>
    </row>
    <row r="4483" spans="1:3">
      <c r="A4483" s="102">
        <v>44717</v>
      </c>
      <c r="B4483">
        <v>0</v>
      </c>
      <c r="C4483" s="106">
        <v>706326</v>
      </c>
    </row>
    <row r="4484" spans="1:3">
      <c r="A4484" s="102">
        <v>44718</v>
      </c>
      <c r="B4484">
        <v>7</v>
      </c>
      <c r="C4484" s="106">
        <v>695787</v>
      </c>
    </row>
    <row r="4485" spans="1:3">
      <c r="A4485" s="102">
        <v>44719</v>
      </c>
      <c r="B4485">
        <v>0</v>
      </c>
      <c r="C4485" s="106">
        <v>705068</v>
      </c>
    </row>
    <row r="4486" spans="1:3">
      <c r="A4486" s="102">
        <v>44720</v>
      </c>
      <c r="B4486">
        <v>0</v>
      </c>
      <c r="C4486" s="106">
        <v>694830</v>
      </c>
    </row>
    <row r="4487" spans="1:3">
      <c r="A4487" s="102">
        <v>44721</v>
      </c>
      <c r="B4487">
        <v>1</v>
      </c>
      <c r="C4487" s="106">
        <v>708461</v>
      </c>
    </row>
    <row r="4488" spans="1:3">
      <c r="A4488" s="102">
        <v>44722</v>
      </c>
      <c r="B4488">
        <v>0</v>
      </c>
      <c r="C4488" s="106">
        <v>752306</v>
      </c>
    </row>
    <row r="4489" spans="1:3">
      <c r="A4489" s="102">
        <v>44723</v>
      </c>
      <c r="B4489">
        <v>0</v>
      </c>
      <c r="C4489" s="106">
        <v>752306</v>
      </c>
    </row>
    <row r="4490" spans="1:3">
      <c r="A4490" s="102">
        <v>44724</v>
      </c>
      <c r="B4490">
        <v>0</v>
      </c>
      <c r="C4490" s="106">
        <v>752306</v>
      </c>
    </row>
    <row r="4491" spans="1:3">
      <c r="A4491" s="102">
        <v>44725</v>
      </c>
      <c r="B4491">
        <v>0</v>
      </c>
      <c r="C4491" s="106">
        <v>758551</v>
      </c>
    </row>
    <row r="4492" spans="1:3">
      <c r="A4492" s="102">
        <v>44726</v>
      </c>
      <c r="B4492">
        <v>0</v>
      </c>
      <c r="C4492" s="106">
        <v>752157</v>
      </c>
    </row>
    <row r="4493" spans="1:3">
      <c r="A4493" s="102">
        <v>44727</v>
      </c>
      <c r="B4493">
        <v>0</v>
      </c>
      <c r="C4493" s="106">
        <v>570622</v>
      </c>
    </row>
    <row r="4494" spans="1:3">
      <c r="A4494" s="102">
        <v>44728</v>
      </c>
      <c r="B4494">
        <v>0</v>
      </c>
      <c r="C4494" s="106">
        <v>523464</v>
      </c>
    </row>
    <row r="4495" spans="1:3">
      <c r="A4495" s="102">
        <v>44729</v>
      </c>
      <c r="B4495">
        <v>0</v>
      </c>
      <c r="C4495" s="106">
        <v>534274</v>
      </c>
    </row>
    <row r="4496" spans="1:3">
      <c r="A4496" s="102">
        <v>44730</v>
      </c>
      <c r="B4496">
        <v>0</v>
      </c>
      <c r="C4496" s="106">
        <v>534274</v>
      </c>
    </row>
    <row r="4497" spans="1:3">
      <c r="A4497" s="102">
        <v>44731</v>
      </c>
      <c r="B4497">
        <v>0</v>
      </c>
      <c r="C4497" s="106">
        <v>534274</v>
      </c>
    </row>
    <row r="4498" spans="1:3">
      <c r="A4498" s="102">
        <v>44732</v>
      </c>
      <c r="B4498">
        <v>0</v>
      </c>
      <c r="C4498" s="106">
        <v>541235</v>
      </c>
    </row>
    <row r="4499" spans="1:3">
      <c r="A4499" s="102">
        <v>44733</v>
      </c>
      <c r="B4499">
        <v>5</v>
      </c>
      <c r="C4499" s="106">
        <v>593273</v>
      </c>
    </row>
    <row r="4500" spans="1:3">
      <c r="A4500" s="102">
        <v>44734</v>
      </c>
      <c r="B4500">
        <v>0</v>
      </c>
      <c r="C4500" s="106">
        <v>615961</v>
      </c>
    </row>
    <row r="4501" spans="1:3">
      <c r="A4501" s="102">
        <v>44735</v>
      </c>
      <c r="B4501">
        <v>0</v>
      </c>
      <c r="C4501" s="106">
        <v>650635</v>
      </c>
    </row>
    <row r="4502" spans="1:3">
      <c r="A4502" s="102">
        <v>44736</v>
      </c>
      <c r="B4502">
        <v>0</v>
      </c>
      <c r="C4502" s="106">
        <v>654205</v>
      </c>
    </row>
    <row r="4503" spans="1:3">
      <c r="A4503" s="102">
        <v>44737</v>
      </c>
      <c r="B4503">
        <v>0</v>
      </c>
      <c r="C4503" s="106">
        <v>654205</v>
      </c>
    </row>
    <row r="4504" spans="1:3">
      <c r="A4504" s="102">
        <v>44738</v>
      </c>
      <c r="B4504">
        <v>0</v>
      </c>
      <c r="C4504" s="106">
        <v>654205</v>
      </c>
    </row>
    <row r="4505" spans="1:3">
      <c r="A4505" s="102">
        <v>44739</v>
      </c>
      <c r="B4505">
        <v>0</v>
      </c>
      <c r="C4505" s="106">
        <v>711711</v>
      </c>
    </row>
    <row r="4506" spans="1:3">
      <c r="A4506" s="102">
        <v>44740</v>
      </c>
      <c r="B4506">
        <v>10</v>
      </c>
      <c r="C4506" s="106">
        <v>724036</v>
      </c>
    </row>
    <row r="4507" spans="1:3">
      <c r="A4507" s="102">
        <v>44741</v>
      </c>
      <c r="B4507">
        <v>41</v>
      </c>
      <c r="C4507" s="106">
        <v>716213</v>
      </c>
    </row>
    <row r="4508" spans="1:3">
      <c r="A4508" s="102">
        <v>44742</v>
      </c>
      <c r="B4508">
        <v>0</v>
      </c>
      <c r="C4508" s="106">
        <v>816027</v>
      </c>
    </row>
    <row r="4509" spans="1:3">
      <c r="A4509" s="102">
        <v>44743</v>
      </c>
      <c r="B4509">
        <v>0</v>
      </c>
      <c r="C4509" s="106">
        <v>736338</v>
      </c>
    </row>
    <row r="4510" spans="1:3">
      <c r="A4510" s="102">
        <v>44744</v>
      </c>
      <c r="B4510">
        <v>0</v>
      </c>
      <c r="C4510" s="106">
        <v>736338</v>
      </c>
    </row>
    <row r="4511" spans="1:3">
      <c r="A4511" s="102">
        <v>44745</v>
      </c>
      <c r="B4511">
        <v>0</v>
      </c>
      <c r="C4511" s="106">
        <v>736338</v>
      </c>
    </row>
    <row r="4512" spans="1:3">
      <c r="A4512" s="102">
        <v>44746</v>
      </c>
      <c r="B4512">
        <v>0</v>
      </c>
      <c r="C4512" s="106">
        <v>736057</v>
      </c>
    </row>
    <row r="4513" spans="1:3">
      <c r="A4513" s="102">
        <v>44747</v>
      </c>
      <c r="B4513">
        <v>1</v>
      </c>
      <c r="C4513" s="106">
        <v>715396</v>
      </c>
    </row>
    <row r="4514" spans="1:3">
      <c r="A4514" s="102">
        <v>44748</v>
      </c>
      <c r="B4514">
        <v>0</v>
      </c>
      <c r="C4514" s="106">
        <v>712795</v>
      </c>
    </row>
    <row r="4515" spans="1:3">
      <c r="A4515" s="102">
        <v>44749</v>
      </c>
      <c r="B4515">
        <v>0</v>
      </c>
      <c r="C4515" s="106">
        <v>707306</v>
      </c>
    </row>
    <row r="4516" spans="1:3">
      <c r="A4516" s="102">
        <v>44750</v>
      </c>
      <c r="B4516">
        <v>4</v>
      </c>
      <c r="C4516" s="106">
        <v>726026</v>
      </c>
    </row>
    <row r="4517" spans="1:3">
      <c r="A4517" s="102">
        <v>44751</v>
      </c>
      <c r="B4517">
        <v>4</v>
      </c>
      <c r="C4517" s="106">
        <v>726026</v>
      </c>
    </row>
    <row r="4518" spans="1:3">
      <c r="A4518" s="102">
        <v>44752</v>
      </c>
      <c r="B4518">
        <v>4</v>
      </c>
      <c r="C4518" s="106">
        <v>726026</v>
      </c>
    </row>
    <row r="4519" spans="1:3">
      <c r="A4519" s="102">
        <v>44753</v>
      </c>
      <c r="B4519">
        <v>0</v>
      </c>
      <c r="C4519" s="106">
        <v>710896</v>
      </c>
    </row>
    <row r="4520" spans="1:3">
      <c r="A4520" s="102">
        <v>44754</v>
      </c>
      <c r="B4520">
        <v>0</v>
      </c>
      <c r="C4520" s="106">
        <v>703547</v>
      </c>
    </row>
    <row r="4521" spans="1:3">
      <c r="A4521" s="102">
        <v>44755</v>
      </c>
      <c r="B4521">
        <v>0</v>
      </c>
      <c r="C4521" s="106">
        <v>706991</v>
      </c>
    </row>
    <row r="4522" spans="1:3">
      <c r="A4522" s="102">
        <v>44756</v>
      </c>
      <c r="B4522">
        <v>0</v>
      </c>
      <c r="C4522" s="106">
        <v>700816</v>
      </c>
    </row>
    <row r="4523" spans="1:3">
      <c r="A4523" s="102">
        <v>44757</v>
      </c>
      <c r="B4523">
        <v>0</v>
      </c>
      <c r="C4523" s="106">
        <v>710260</v>
      </c>
    </row>
    <row r="4524" spans="1:3">
      <c r="A4524" s="102">
        <v>44758</v>
      </c>
      <c r="B4524">
        <v>0</v>
      </c>
      <c r="C4524" s="106">
        <v>710260</v>
      </c>
    </row>
    <row r="4525" spans="1:3">
      <c r="A4525" s="102">
        <v>44759</v>
      </c>
      <c r="B4525">
        <v>0</v>
      </c>
      <c r="C4525" s="106">
        <v>710260</v>
      </c>
    </row>
    <row r="4526" spans="1:3">
      <c r="A4526" s="102">
        <v>44760</v>
      </c>
      <c r="B4526">
        <v>4</v>
      </c>
      <c r="C4526" s="106">
        <v>705092</v>
      </c>
    </row>
    <row r="4527" spans="1:3">
      <c r="A4527" s="102">
        <v>44761</v>
      </c>
      <c r="B4527">
        <v>0</v>
      </c>
      <c r="C4527" s="106">
        <v>700414</v>
      </c>
    </row>
    <row r="4528" spans="1:3">
      <c r="A4528" s="102">
        <v>44762</v>
      </c>
      <c r="B4528">
        <v>0</v>
      </c>
      <c r="C4528" s="106">
        <v>665517</v>
      </c>
    </row>
    <row r="4529" spans="1:3">
      <c r="A4529" s="102">
        <v>44763</v>
      </c>
      <c r="B4529">
        <v>0</v>
      </c>
      <c r="C4529" s="106">
        <v>700937</v>
      </c>
    </row>
    <row r="4530" spans="1:3">
      <c r="A4530" s="102">
        <v>44764</v>
      </c>
      <c r="B4530">
        <v>1</v>
      </c>
      <c r="C4530" s="106">
        <v>698545</v>
      </c>
    </row>
    <row r="4531" spans="1:3">
      <c r="A4531" s="102">
        <v>44765</v>
      </c>
      <c r="B4531">
        <v>1</v>
      </c>
      <c r="C4531" s="106">
        <v>698545</v>
      </c>
    </row>
    <row r="4532" spans="1:3">
      <c r="A4532" s="102">
        <v>44766</v>
      </c>
      <c r="B4532">
        <v>1</v>
      </c>
      <c r="C4532" s="106">
        <v>698545</v>
      </c>
    </row>
    <row r="4533" spans="1:3">
      <c r="A4533" s="102">
        <v>44767</v>
      </c>
      <c r="B4533">
        <v>0</v>
      </c>
      <c r="C4533" s="106">
        <v>695618</v>
      </c>
    </row>
    <row r="4534" spans="1:3">
      <c r="A4534" s="102">
        <v>44768</v>
      </c>
      <c r="B4534">
        <v>1</v>
      </c>
      <c r="C4534" s="106">
        <v>701077</v>
      </c>
    </row>
    <row r="4535" spans="1:3">
      <c r="A4535" s="102">
        <v>44769</v>
      </c>
      <c r="B4535">
        <v>5</v>
      </c>
      <c r="C4535" s="106">
        <v>565180</v>
      </c>
    </row>
    <row r="4536" spans="1:3">
      <c r="A4536" s="102">
        <v>44770</v>
      </c>
      <c r="B4536">
        <v>3</v>
      </c>
      <c r="C4536" s="106">
        <v>613488</v>
      </c>
    </row>
    <row r="4537" spans="1:3">
      <c r="A4537" s="102">
        <v>44771</v>
      </c>
      <c r="B4537">
        <v>0</v>
      </c>
      <c r="C4537" s="106">
        <v>711059</v>
      </c>
    </row>
    <row r="4538" spans="1:3">
      <c r="A4538" s="102">
        <v>44772</v>
      </c>
      <c r="B4538">
        <v>0</v>
      </c>
      <c r="C4538" s="106">
        <v>711059</v>
      </c>
    </row>
    <row r="4539" spans="1:3">
      <c r="A4539" s="102">
        <v>44773</v>
      </c>
      <c r="B4539">
        <v>0</v>
      </c>
      <c r="C4539" s="106">
        <v>711059</v>
      </c>
    </row>
    <row r="4540" spans="1:3">
      <c r="A4540" s="102">
        <v>44774</v>
      </c>
      <c r="B4540">
        <v>4</v>
      </c>
      <c r="C4540" s="106">
        <v>635942</v>
      </c>
    </row>
    <row r="4541" spans="1:3">
      <c r="A4541" s="102">
        <v>44775</v>
      </c>
      <c r="B4541">
        <v>8</v>
      </c>
      <c r="C4541" s="106">
        <v>650744</v>
      </c>
    </row>
    <row r="4542" spans="1:3">
      <c r="A4542" s="102">
        <v>44776</v>
      </c>
      <c r="B4542">
        <v>19</v>
      </c>
      <c r="C4542" s="106">
        <v>640028</v>
      </c>
    </row>
    <row r="4543" spans="1:3">
      <c r="A4543" s="102">
        <v>44777</v>
      </c>
      <c r="B4543">
        <v>0</v>
      </c>
      <c r="C4543" s="106">
        <v>631484</v>
      </c>
    </row>
    <row r="4544" spans="1:3">
      <c r="A4544" s="102">
        <v>44778</v>
      </c>
      <c r="B4544">
        <v>0</v>
      </c>
      <c r="C4544" s="106">
        <v>664106</v>
      </c>
    </row>
    <row r="4545" spans="1:3">
      <c r="A4545" s="102">
        <v>44779</v>
      </c>
      <c r="B4545">
        <v>0</v>
      </c>
      <c r="C4545" s="106">
        <v>664106</v>
      </c>
    </row>
    <row r="4546" spans="1:3">
      <c r="A4546" s="102">
        <v>44780</v>
      </c>
      <c r="B4546">
        <v>0</v>
      </c>
      <c r="C4546" s="106">
        <v>664106</v>
      </c>
    </row>
    <row r="4547" spans="1:3">
      <c r="A4547" s="102">
        <v>44781</v>
      </c>
      <c r="B4547">
        <v>0</v>
      </c>
      <c r="C4547" s="106">
        <v>676371</v>
      </c>
    </row>
    <row r="4548" spans="1:3">
      <c r="A4548" s="102">
        <v>44782</v>
      </c>
      <c r="B4548">
        <v>0</v>
      </c>
      <c r="C4548" s="106">
        <v>672204</v>
      </c>
    </row>
    <row r="4549" spans="1:3">
      <c r="A4549" s="102">
        <v>44783</v>
      </c>
      <c r="B4549">
        <v>0</v>
      </c>
      <c r="C4549" s="106">
        <v>672490</v>
      </c>
    </row>
    <row r="4550" spans="1:3">
      <c r="A4550" s="102">
        <v>44784</v>
      </c>
      <c r="B4550">
        <v>1</v>
      </c>
      <c r="C4550" s="106">
        <v>658060</v>
      </c>
    </row>
    <row r="4551" spans="1:3">
      <c r="A4551" s="102">
        <v>44785</v>
      </c>
      <c r="B4551">
        <v>1</v>
      </c>
      <c r="C4551" s="106">
        <v>665473</v>
      </c>
    </row>
    <row r="4552" spans="1:3">
      <c r="A4552" s="102">
        <v>44786</v>
      </c>
      <c r="B4552">
        <v>1</v>
      </c>
      <c r="C4552" s="106">
        <v>665473</v>
      </c>
    </row>
    <row r="4553" spans="1:3">
      <c r="A4553" s="102">
        <v>44787</v>
      </c>
      <c r="B4553">
        <v>1</v>
      </c>
      <c r="C4553" s="106">
        <v>665473</v>
      </c>
    </row>
    <row r="4554" spans="1:3">
      <c r="A4554" s="102">
        <v>44788</v>
      </c>
      <c r="B4554">
        <v>0</v>
      </c>
      <c r="C4554" s="106">
        <v>605831</v>
      </c>
    </row>
    <row r="4555" spans="1:3">
      <c r="A4555" s="102">
        <v>44789</v>
      </c>
      <c r="B4555">
        <v>57</v>
      </c>
      <c r="C4555" s="106">
        <v>647776</v>
      </c>
    </row>
    <row r="4556" spans="1:3">
      <c r="A4556" s="102">
        <v>44790</v>
      </c>
      <c r="B4556">
        <v>0</v>
      </c>
      <c r="C4556" s="106">
        <v>652303</v>
      </c>
    </row>
    <row r="4557" spans="1:3">
      <c r="A4557" s="102">
        <v>44791</v>
      </c>
      <c r="B4557">
        <v>0</v>
      </c>
      <c r="C4557" s="106">
        <v>656594</v>
      </c>
    </row>
    <row r="4558" spans="1:3">
      <c r="A4558" s="102">
        <v>44792</v>
      </c>
      <c r="B4558">
        <v>0</v>
      </c>
      <c r="C4558" s="106">
        <v>655637</v>
      </c>
    </row>
    <row r="4559" spans="1:3">
      <c r="A4559" s="102">
        <v>44793</v>
      </c>
      <c r="B4559">
        <v>0</v>
      </c>
      <c r="C4559" s="106">
        <v>655637</v>
      </c>
    </row>
    <row r="4560" spans="1:3">
      <c r="A4560" s="102">
        <v>44794</v>
      </c>
      <c r="B4560">
        <v>0</v>
      </c>
      <c r="C4560" s="106">
        <v>655637</v>
      </c>
    </row>
    <row r="4561" spans="1:3">
      <c r="A4561" s="102">
        <v>44795</v>
      </c>
      <c r="B4561">
        <v>0</v>
      </c>
      <c r="C4561" s="106">
        <v>651860</v>
      </c>
    </row>
    <row r="4562" spans="1:3">
      <c r="A4562" s="102">
        <v>44796</v>
      </c>
      <c r="B4562">
        <v>0</v>
      </c>
      <c r="C4562" s="106">
        <v>641891</v>
      </c>
    </row>
    <row r="4563" spans="1:3">
      <c r="A4563" s="102">
        <v>44797</v>
      </c>
      <c r="B4563">
        <v>0</v>
      </c>
      <c r="C4563" s="106">
        <v>643109</v>
      </c>
    </row>
    <row r="4564" spans="1:3">
      <c r="A4564" s="102">
        <v>44798</v>
      </c>
      <c r="B4564">
        <v>0</v>
      </c>
      <c r="C4564" s="106">
        <v>648232</v>
      </c>
    </row>
    <row r="4565" spans="1:3">
      <c r="A4565" s="102">
        <v>44799</v>
      </c>
      <c r="B4565">
        <v>1</v>
      </c>
      <c r="C4565" s="106">
        <v>648621</v>
      </c>
    </row>
    <row r="4566" spans="1:3">
      <c r="A4566" s="102">
        <v>44800</v>
      </c>
      <c r="B4566">
        <v>1</v>
      </c>
      <c r="C4566" s="106">
        <v>648621</v>
      </c>
    </row>
    <row r="4567" spans="1:3">
      <c r="A4567" s="102">
        <v>44801</v>
      </c>
      <c r="B4567">
        <v>1</v>
      </c>
      <c r="C4567" s="106">
        <v>648621</v>
      </c>
    </row>
    <row r="4568" spans="1:3">
      <c r="A4568" s="102">
        <v>44802</v>
      </c>
      <c r="B4568">
        <v>0</v>
      </c>
      <c r="C4568" s="106">
        <v>648293</v>
      </c>
    </row>
    <row r="4569" spans="1:3">
      <c r="A4569" s="102">
        <v>44803</v>
      </c>
      <c r="B4569">
        <v>0</v>
      </c>
      <c r="C4569" s="106">
        <v>659557</v>
      </c>
    </row>
    <row r="4570" spans="1:3">
      <c r="A4570" s="102">
        <v>44804</v>
      </c>
      <c r="B4570">
        <v>1</v>
      </c>
      <c r="C4570" s="106">
        <v>747309</v>
      </c>
    </row>
    <row r="4571" spans="1:3">
      <c r="A4571" s="102">
        <v>44805</v>
      </c>
      <c r="B4571">
        <v>1</v>
      </c>
      <c r="C4571" s="106">
        <v>666282</v>
      </c>
    </row>
    <row r="4572" spans="1:3">
      <c r="A4572" s="102">
        <v>44806</v>
      </c>
      <c r="B4572">
        <v>1</v>
      </c>
      <c r="C4572" s="106">
        <v>670732</v>
      </c>
    </row>
    <row r="4573" spans="1:3">
      <c r="A4573" s="102">
        <v>44807</v>
      </c>
      <c r="B4573">
        <v>1</v>
      </c>
      <c r="C4573" s="106">
        <v>670732</v>
      </c>
    </row>
    <row r="4574" spans="1:3">
      <c r="A4574" s="102">
        <v>44808</v>
      </c>
      <c r="B4574">
        <v>1</v>
      </c>
      <c r="C4574" s="106">
        <v>670732</v>
      </c>
    </row>
    <row r="4575" spans="1:3">
      <c r="A4575" s="102">
        <v>44809</v>
      </c>
      <c r="B4575">
        <v>1</v>
      </c>
      <c r="C4575" s="106">
        <v>672425</v>
      </c>
    </row>
    <row r="4576" spans="1:3">
      <c r="A4576" s="102">
        <v>44810</v>
      </c>
      <c r="B4576">
        <v>0</v>
      </c>
      <c r="C4576" s="106">
        <v>686679</v>
      </c>
    </row>
    <row r="4577" spans="1:3">
      <c r="A4577" s="102">
        <v>44811</v>
      </c>
      <c r="B4577">
        <v>0</v>
      </c>
      <c r="C4577" s="106">
        <v>683248</v>
      </c>
    </row>
    <row r="4578" spans="1:3">
      <c r="A4578" s="102">
        <v>44812</v>
      </c>
      <c r="B4578">
        <v>0</v>
      </c>
      <c r="C4578" s="106">
        <v>811229</v>
      </c>
    </row>
    <row r="4579" spans="1:3">
      <c r="A4579" s="102">
        <v>44813</v>
      </c>
      <c r="B4579">
        <v>0</v>
      </c>
      <c r="C4579" s="106">
        <v>994307</v>
      </c>
    </row>
    <row r="4580" spans="1:3">
      <c r="A4580" s="102">
        <v>44814</v>
      </c>
      <c r="B4580">
        <v>0</v>
      </c>
      <c r="C4580" s="106">
        <v>994307</v>
      </c>
    </row>
    <row r="4581" spans="1:3">
      <c r="A4581" s="102">
        <v>44815</v>
      </c>
      <c r="B4581">
        <v>0</v>
      </c>
      <c r="C4581" s="106">
        <v>994307</v>
      </c>
    </row>
    <row r="4582" spans="1:3">
      <c r="A4582" s="102">
        <v>44816</v>
      </c>
      <c r="B4582">
        <v>6</v>
      </c>
      <c r="C4582" s="106">
        <v>1152899</v>
      </c>
    </row>
    <row r="4583" spans="1:3">
      <c r="A4583" s="102">
        <v>44817</v>
      </c>
      <c r="B4583">
        <v>15</v>
      </c>
      <c r="C4583" s="106">
        <v>1323065</v>
      </c>
    </row>
    <row r="4584" spans="1:3">
      <c r="A4584" s="102">
        <v>44818</v>
      </c>
      <c r="B4584">
        <v>0</v>
      </c>
      <c r="C4584" s="106">
        <v>3853832</v>
      </c>
    </row>
    <row r="4585" spans="1:3">
      <c r="A4585" s="102">
        <v>44819</v>
      </c>
      <c r="B4585">
        <v>1</v>
      </c>
      <c r="C4585" s="106">
        <v>4213046</v>
      </c>
    </row>
    <row r="4586" spans="1:3">
      <c r="A4586" s="102">
        <v>44820</v>
      </c>
      <c r="B4586">
        <v>0</v>
      </c>
      <c r="C4586" s="106">
        <v>4266629</v>
      </c>
    </row>
    <row r="4587" spans="1:3">
      <c r="A4587" s="102">
        <v>44821</v>
      </c>
      <c r="B4587">
        <v>0</v>
      </c>
      <c r="C4587" s="106">
        <v>4266629</v>
      </c>
    </row>
    <row r="4588" spans="1:3">
      <c r="A4588" s="102">
        <v>44822</v>
      </c>
      <c r="B4588">
        <v>0</v>
      </c>
      <c r="C4588" s="106">
        <v>4266629</v>
      </c>
    </row>
    <row r="4589" spans="1:3">
      <c r="A4589" s="102">
        <v>44823</v>
      </c>
      <c r="B4589">
        <v>11</v>
      </c>
      <c r="C4589" s="106">
        <v>4268738</v>
      </c>
    </row>
    <row r="4590" spans="1:3">
      <c r="A4590" s="102">
        <v>44824</v>
      </c>
      <c r="B4590">
        <v>3</v>
      </c>
      <c r="C4590" s="106">
        <v>4302813</v>
      </c>
    </row>
    <row r="4591" spans="1:3">
      <c r="A4591" s="102">
        <v>44825</v>
      </c>
      <c r="B4591">
        <v>1</v>
      </c>
      <c r="C4591" s="106">
        <v>4311642</v>
      </c>
    </row>
    <row r="4592" spans="1:3">
      <c r="A4592" s="102">
        <v>44826</v>
      </c>
      <c r="B4592">
        <v>10</v>
      </c>
      <c r="C4592" s="106">
        <v>4336794</v>
      </c>
    </row>
    <row r="4593" spans="1:3">
      <c r="A4593" s="102">
        <v>44827</v>
      </c>
      <c r="B4593">
        <v>0</v>
      </c>
      <c r="C4593" s="106">
        <v>4405190</v>
      </c>
    </row>
    <row r="4594" spans="1:3">
      <c r="A4594" s="102">
        <v>44828</v>
      </c>
      <c r="B4594">
        <v>0</v>
      </c>
      <c r="C4594" s="106">
        <v>4405190</v>
      </c>
    </row>
    <row r="4595" spans="1:3">
      <c r="A4595" s="102">
        <v>44829</v>
      </c>
      <c r="B4595">
        <v>0</v>
      </c>
      <c r="C4595" s="106">
        <v>4405190</v>
      </c>
    </row>
    <row r="4596" spans="1:3">
      <c r="A4596" s="102">
        <v>44830</v>
      </c>
      <c r="B4596">
        <v>0</v>
      </c>
      <c r="C4596" s="106">
        <v>4373043</v>
      </c>
    </row>
    <row r="4597" spans="1:3">
      <c r="A4597" s="102">
        <v>44831</v>
      </c>
      <c r="B4597">
        <v>0</v>
      </c>
      <c r="C4597" s="106">
        <v>4408913</v>
      </c>
    </row>
    <row r="4598" spans="1:3">
      <c r="A4598" s="102">
        <v>44832</v>
      </c>
      <c r="B4598">
        <v>191</v>
      </c>
      <c r="C4598" s="106">
        <v>4469804</v>
      </c>
    </row>
    <row r="4599" spans="1:3">
      <c r="A4599" s="102">
        <v>44833</v>
      </c>
      <c r="B4599">
        <v>219</v>
      </c>
      <c r="C4599" s="106">
        <v>4474277</v>
      </c>
    </row>
    <row r="4600" spans="1:3">
      <c r="A4600" s="102">
        <v>44834</v>
      </c>
      <c r="B4600">
        <v>280</v>
      </c>
      <c r="C4600" s="106">
        <v>4378209</v>
      </c>
    </row>
    <row r="4601" spans="1:3">
      <c r="A4601" s="102">
        <v>44835</v>
      </c>
      <c r="B4601">
        <v>280</v>
      </c>
      <c r="C4601" s="106">
        <v>4378209</v>
      </c>
    </row>
    <row r="4602" spans="1:3">
      <c r="A4602" s="102">
        <v>44836</v>
      </c>
      <c r="B4602">
        <v>280</v>
      </c>
      <c r="C4602" s="106">
        <v>4378209</v>
      </c>
    </row>
    <row r="4603" spans="1:3">
      <c r="A4603" s="102">
        <v>44837</v>
      </c>
      <c r="B4603">
        <v>235</v>
      </c>
      <c r="C4603" s="106">
        <v>4467585</v>
      </c>
    </row>
    <row r="4604" spans="1:3">
      <c r="A4604" s="102">
        <v>44838</v>
      </c>
      <c r="B4604">
        <v>14</v>
      </c>
      <c r="C4604" s="106">
        <v>4567040</v>
      </c>
    </row>
    <row r="4605" spans="1:3">
      <c r="A4605" s="102">
        <v>44839</v>
      </c>
      <c r="B4605">
        <v>14</v>
      </c>
      <c r="C4605" s="106">
        <v>4579609</v>
      </c>
    </row>
    <row r="4606" spans="1:3">
      <c r="A4606" s="102">
        <v>44840</v>
      </c>
      <c r="B4606">
        <v>4</v>
      </c>
      <c r="C4606" s="106">
        <v>4592356</v>
      </c>
    </row>
    <row r="4607" spans="1:3">
      <c r="A4607" s="102">
        <v>44841</v>
      </c>
      <c r="B4607">
        <v>13</v>
      </c>
      <c r="C4607" s="106">
        <v>4626739</v>
      </c>
    </row>
    <row r="4608" spans="1:3">
      <c r="A4608" s="102">
        <v>44842</v>
      </c>
      <c r="B4608">
        <v>13</v>
      </c>
      <c r="C4608" s="106">
        <v>4626739</v>
      </c>
    </row>
    <row r="4609" spans="1:3">
      <c r="A4609" s="102">
        <v>44843</v>
      </c>
      <c r="B4609">
        <v>13</v>
      </c>
      <c r="C4609" s="106">
        <v>4626739</v>
      </c>
    </row>
    <row r="4610" spans="1:3">
      <c r="A4610" s="102">
        <v>44844</v>
      </c>
      <c r="B4610">
        <v>13</v>
      </c>
      <c r="C4610" s="106">
        <v>4576695</v>
      </c>
    </row>
    <row r="4611" spans="1:3">
      <c r="A4611" s="102">
        <v>44845</v>
      </c>
      <c r="B4611">
        <v>0</v>
      </c>
      <c r="C4611" s="106">
        <v>4632033</v>
      </c>
    </row>
    <row r="4612" spans="1:3">
      <c r="A4612" s="102">
        <v>44846</v>
      </c>
      <c r="B4612">
        <v>3</v>
      </c>
      <c r="C4612" s="106">
        <v>4619953</v>
      </c>
    </row>
    <row r="4613" spans="1:3">
      <c r="A4613" s="102">
        <v>44847</v>
      </c>
      <c r="B4613">
        <v>0</v>
      </c>
      <c r="C4613" s="106">
        <v>4631277</v>
      </c>
    </row>
    <row r="4614" spans="1:3">
      <c r="A4614" s="102">
        <v>44848</v>
      </c>
      <c r="B4614">
        <v>5</v>
      </c>
      <c r="C4614" s="106">
        <v>4619745</v>
      </c>
    </row>
    <row r="4615" spans="1:3">
      <c r="A4615" s="102">
        <v>44849</v>
      </c>
      <c r="B4615">
        <v>5</v>
      </c>
      <c r="C4615" s="106">
        <v>4619745</v>
      </c>
    </row>
    <row r="4616" spans="1:3">
      <c r="A4616" s="102">
        <v>44850</v>
      </c>
      <c r="B4616">
        <v>5</v>
      </c>
      <c r="C4616" s="106">
        <v>4619745</v>
      </c>
    </row>
    <row r="4617" spans="1:3">
      <c r="A4617" s="102">
        <v>44851</v>
      </c>
      <c r="B4617">
        <v>10</v>
      </c>
      <c r="C4617" s="106">
        <v>4620895</v>
      </c>
    </row>
    <row r="4618" spans="1:3">
      <c r="A4618" s="102">
        <v>44852</v>
      </c>
      <c r="B4618">
        <v>544</v>
      </c>
      <c r="C4618" s="106">
        <v>4625218</v>
      </c>
    </row>
    <row r="4619" spans="1:3">
      <c r="A4619" s="102">
        <v>44853</v>
      </c>
      <c r="B4619">
        <v>0</v>
      </c>
      <c r="C4619" s="106">
        <v>4624940</v>
      </c>
    </row>
    <row r="4620" spans="1:3">
      <c r="A4620" s="102">
        <v>44854</v>
      </c>
      <c r="B4620">
        <v>1</v>
      </c>
      <c r="C4620" s="106">
        <v>4624067</v>
      </c>
    </row>
    <row r="4621" spans="1:3">
      <c r="A4621" s="102">
        <v>44855</v>
      </c>
      <c r="B4621">
        <v>0</v>
      </c>
      <c r="C4621" s="106">
        <v>4623036</v>
      </c>
    </row>
    <row r="4622" spans="1:3">
      <c r="A4622" s="102">
        <v>44856</v>
      </c>
      <c r="B4622">
        <v>0</v>
      </c>
      <c r="C4622" s="106">
        <v>4623036</v>
      </c>
    </row>
    <row r="4623" spans="1:3">
      <c r="A4623" s="102">
        <v>44857</v>
      </c>
      <c r="B4623">
        <v>0</v>
      </c>
      <c r="C4623" s="106">
        <v>4623036</v>
      </c>
    </row>
    <row r="4624" spans="1:3">
      <c r="A4624" s="102">
        <v>44858</v>
      </c>
      <c r="B4624">
        <v>104</v>
      </c>
      <c r="C4624" s="106">
        <v>4609687</v>
      </c>
    </row>
    <row r="4625" spans="1:3">
      <c r="A4625" s="102">
        <v>44859</v>
      </c>
      <c r="B4625">
        <v>2</v>
      </c>
      <c r="C4625" s="106">
        <v>4634163</v>
      </c>
    </row>
    <row r="4626" spans="1:3">
      <c r="A4626" s="102">
        <v>44860</v>
      </c>
      <c r="B4626">
        <v>0</v>
      </c>
      <c r="C4626" s="106">
        <v>4631814</v>
      </c>
    </row>
    <row r="4627" spans="1:3">
      <c r="A4627" s="102">
        <v>44861</v>
      </c>
      <c r="B4627">
        <v>0</v>
      </c>
      <c r="C4627" s="106">
        <v>4590200</v>
      </c>
    </row>
    <row r="4628" spans="1:3">
      <c r="A4628" s="102">
        <v>44862</v>
      </c>
      <c r="B4628">
        <v>0</v>
      </c>
      <c r="C4628" s="106">
        <v>4567498</v>
      </c>
    </row>
    <row r="4629" spans="1:3">
      <c r="A4629" s="102">
        <v>44863</v>
      </c>
      <c r="B4629">
        <v>0</v>
      </c>
      <c r="C4629" s="106">
        <v>4567498</v>
      </c>
    </row>
    <row r="4630" spans="1:3">
      <c r="A4630" s="102">
        <v>44864</v>
      </c>
      <c r="B4630">
        <v>0</v>
      </c>
      <c r="C4630" s="106">
        <v>4567498</v>
      </c>
    </row>
    <row r="4631" spans="1:3">
      <c r="A4631" s="102">
        <v>44865</v>
      </c>
      <c r="B4631">
        <v>61</v>
      </c>
      <c r="C4631" s="106">
        <v>4515548</v>
      </c>
    </row>
    <row r="4632" spans="1:3">
      <c r="A4632" s="102">
        <v>44866</v>
      </c>
      <c r="B4632">
        <v>26</v>
      </c>
      <c r="C4632" s="106">
        <v>4513481</v>
      </c>
    </row>
    <row r="4633" spans="1:3">
      <c r="A4633" s="102">
        <v>44867</v>
      </c>
      <c r="B4633">
        <v>0</v>
      </c>
      <c r="C4633" s="106">
        <v>4413857</v>
      </c>
    </row>
    <row r="4634" spans="1:3">
      <c r="A4634" s="102">
        <v>44868</v>
      </c>
      <c r="B4634">
        <v>0</v>
      </c>
      <c r="C4634" s="106">
        <v>4564401</v>
      </c>
    </row>
    <row r="4635" spans="1:3">
      <c r="A4635" s="102">
        <v>44869</v>
      </c>
      <c r="B4635">
        <v>0</v>
      </c>
      <c r="C4635" s="106">
        <v>4616064</v>
      </c>
    </row>
    <row r="4636" spans="1:3">
      <c r="A4636" s="102">
        <v>44870</v>
      </c>
      <c r="B4636">
        <v>0</v>
      </c>
      <c r="C4636" s="106">
        <v>4616064</v>
      </c>
    </row>
    <row r="4637" spans="1:3">
      <c r="A4637" s="102">
        <v>44871</v>
      </c>
      <c r="B4637">
        <v>0</v>
      </c>
      <c r="C4637" s="106">
        <v>4616064</v>
      </c>
    </row>
    <row r="4638" spans="1:3">
      <c r="A4638" s="102">
        <v>44872</v>
      </c>
      <c r="B4638">
        <v>0</v>
      </c>
      <c r="C4638" s="106">
        <v>4631098</v>
      </c>
    </row>
    <row r="4639" spans="1:3">
      <c r="A4639" s="102">
        <v>44873</v>
      </c>
      <c r="B4639">
        <v>0</v>
      </c>
      <c r="C4639" s="106">
        <v>4648962</v>
      </c>
    </row>
    <row r="4640" spans="1:3">
      <c r="A4640" s="102">
        <v>44874</v>
      </c>
      <c r="B4640">
        <v>10</v>
      </c>
      <c r="C4640" s="106">
        <v>4682347</v>
      </c>
    </row>
    <row r="4641" spans="1:3">
      <c r="A4641" s="102">
        <v>44875</v>
      </c>
      <c r="B4641">
        <v>0</v>
      </c>
      <c r="C4641" s="106">
        <v>4686434</v>
      </c>
    </row>
    <row r="4642" spans="1:3">
      <c r="A4642" s="102">
        <v>44876</v>
      </c>
      <c r="B4642">
        <v>11</v>
      </c>
      <c r="C4642" s="106">
        <v>4691956</v>
      </c>
    </row>
    <row r="4643" spans="1:3">
      <c r="A4643" s="102">
        <v>44877</v>
      </c>
      <c r="B4643">
        <v>11</v>
      </c>
      <c r="C4643" s="106">
        <v>4691956</v>
      </c>
    </row>
    <row r="4644" spans="1:3">
      <c r="A4644" s="102">
        <v>44878</v>
      </c>
      <c r="B4644">
        <v>11</v>
      </c>
      <c r="C4644" s="106">
        <v>4691956</v>
      </c>
    </row>
    <row r="4645" spans="1:3">
      <c r="A4645" s="102">
        <v>44879</v>
      </c>
      <c r="B4645">
        <v>56</v>
      </c>
      <c r="C4645" s="106">
        <v>4704818</v>
      </c>
    </row>
    <row r="4646" spans="1:3">
      <c r="A4646" s="102">
        <v>44880</v>
      </c>
      <c r="B4646">
        <v>92</v>
      </c>
      <c r="C4646" s="106">
        <v>4703304</v>
      </c>
    </row>
    <row r="4647" spans="1:3">
      <c r="A4647" s="102">
        <v>44881</v>
      </c>
      <c r="B4647">
        <v>1</v>
      </c>
      <c r="C4647" s="106">
        <v>4669374</v>
      </c>
    </row>
    <row r="4648" spans="1:3">
      <c r="A4648" s="102">
        <v>44882</v>
      </c>
      <c r="B4648">
        <v>1</v>
      </c>
      <c r="C4648" s="106">
        <v>4675279</v>
      </c>
    </row>
    <row r="4649" spans="1:3">
      <c r="A4649" s="102">
        <v>44883</v>
      </c>
      <c r="B4649">
        <v>37</v>
      </c>
      <c r="C4649" s="106">
        <v>4638947</v>
      </c>
    </row>
    <row r="4650" spans="1:3">
      <c r="A4650" s="102">
        <v>44884</v>
      </c>
      <c r="B4650">
        <v>37</v>
      </c>
      <c r="C4650" s="106">
        <v>4638947</v>
      </c>
    </row>
    <row r="4651" spans="1:3">
      <c r="A4651" s="102">
        <v>44885</v>
      </c>
      <c r="B4651">
        <v>37</v>
      </c>
      <c r="C4651" s="106">
        <v>4638947</v>
      </c>
    </row>
    <row r="4652" spans="1:3">
      <c r="A4652" s="102">
        <v>44886</v>
      </c>
      <c r="B4652">
        <v>0</v>
      </c>
      <c r="C4652" s="106">
        <v>4649717</v>
      </c>
    </row>
    <row r="4653" spans="1:3">
      <c r="A4653" s="102">
        <v>44887</v>
      </c>
      <c r="B4653">
        <v>1</v>
      </c>
      <c r="C4653" s="106">
        <v>4620072</v>
      </c>
    </row>
    <row r="4654" spans="1:3">
      <c r="A4654" s="102">
        <v>44888</v>
      </c>
      <c r="B4654">
        <v>15</v>
      </c>
      <c r="C4654" s="106">
        <v>4387400</v>
      </c>
    </row>
    <row r="4655" spans="1:3">
      <c r="A4655" s="102">
        <v>44889</v>
      </c>
      <c r="B4655">
        <v>30</v>
      </c>
      <c r="C4655" s="106">
        <v>4379030</v>
      </c>
    </row>
    <row r="4656" spans="1:3">
      <c r="A4656" s="102">
        <v>44890</v>
      </c>
      <c r="B4656">
        <v>30</v>
      </c>
      <c r="C4656" s="106">
        <v>4348458</v>
      </c>
    </row>
    <row r="4657" spans="1:3">
      <c r="A4657" s="102">
        <v>44891</v>
      </c>
      <c r="B4657">
        <v>30</v>
      </c>
      <c r="C4657" s="106">
        <v>4348458</v>
      </c>
    </row>
    <row r="4658" spans="1:3">
      <c r="A4658" s="102">
        <v>44892</v>
      </c>
      <c r="B4658">
        <v>30</v>
      </c>
      <c r="C4658" s="106">
        <v>4348458</v>
      </c>
    </row>
    <row r="4659" spans="1:3">
      <c r="A4659" s="102">
        <v>44893</v>
      </c>
      <c r="B4659">
        <v>121</v>
      </c>
      <c r="C4659" s="106">
        <v>4369772</v>
      </c>
    </row>
    <row r="4660" spans="1:3">
      <c r="A4660" s="102">
        <v>44894</v>
      </c>
      <c r="B4660">
        <v>45</v>
      </c>
      <c r="C4660" s="106">
        <v>4389507</v>
      </c>
    </row>
    <row r="4661" spans="1:3">
      <c r="A4661" s="102">
        <v>44895</v>
      </c>
      <c r="B4661">
        <v>140</v>
      </c>
      <c r="C4661" s="106">
        <v>4355780</v>
      </c>
    </row>
    <row r="4662" spans="1:3">
      <c r="A4662" s="102">
        <v>44896</v>
      </c>
      <c r="B4662">
        <v>0</v>
      </c>
      <c r="C4662" s="106">
        <v>4451632</v>
      </c>
    </row>
    <row r="4663" spans="1:3">
      <c r="A4663" s="102">
        <v>44897</v>
      </c>
      <c r="B4663">
        <v>0</v>
      </c>
      <c r="C4663" s="106">
        <v>4473960</v>
      </c>
    </row>
    <row r="4664" spans="1:3">
      <c r="A4664" s="102">
        <v>44898</v>
      </c>
      <c r="B4664">
        <v>0</v>
      </c>
      <c r="C4664" s="106">
        <v>4473960</v>
      </c>
    </row>
    <row r="4665" spans="1:3">
      <c r="A4665" s="102">
        <v>44899</v>
      </c>
      <c r="B4665">
        <v>0</v>
      </c>
      <c r="C4665" s="106">
        <v>4473960</v>
      </c>
    </row>
    <row r="4666" spans="1:3">
      <c r="A4666" s="102">
        <v>44900</v>
      </c>
      <c r="B4666">
        <v>0</v>
      </c>
      <c r="C4666" s="106">
        <v>4443618</v>
      </c>
    </row>
    <row r="4667" spans="1:3">
      <c r="A4667" s="102">
        <v>44901</v>
      </c>
      <c r="B4667">
        <v>0</v>
      </c>
      <c r="C4667" s="106">
        <v>4476561</v>
      </c>
    </row>
    <row r="4668" spans="1:3">
      <c r="A4668" s="102">
        <v>44902</v>
      </c>
      <c r="B4668">
        <v>0</v>
      </c>
      <c r="C4668" s="106">
        <v>4475512</v>
      </c>
    </row>
    <row r="4669" spans="1:3">
      <c r="A4669" s="102">
        <v>44903</v>
      </c>
      <c r="B4669">
        <v>0</v>
      </c>
      <c r="C4669" s="106">
        <v>4428558</v>
      </c>
    </row>
    <row r="4670" spans="1:3">
      <c r="A4670" s="102">
        <v>44904</v>
      </c>
      <c r="B4670">
        <v>0</v>
      </c>
      <c r="C4670" s="106">
        <v>4476095</v>
      </c>
    </row>
    <row r="4671" spans="1:3">
      <c r="A4671" s="102">
        <v>44905</v>
      </c>
      <c r="B4671">
        <v>0</v>
      </c>
      <c r="C4671" s="106">
        <v>4476095</v>
      </c>
    </row>
    <row r="4672" spans="1:3">
      <c r="A4672" s="102">
        <v>44906</v>
      </c>
      <c r="B4672">
        <v>0</v>
      </c>
      <c r="C4672" s="106">
        <v>4476095</v>
      </c>
    </row>
    <row r="4673" spans="1:3">
      <c r="A4673" s="102">
        <v>44907</v>
      </c>
      <c r="B4673">
        <v>7</v>
      </c>
      <c r="C4673" s="106">
        <v>4465176</v>
      </c>
    </row>
    <row r="4674" spans="1:3">
      <c r="A4674" s="102">
        <v>44908</v>
      </c>
      <c r="B4674">
        <v>0</v>
      </c>
      <c r="C4674" s="106">
        <v>4461420</v>
      </c>
    </row>
    <row r="4675" spans="1:3">
      <c r="A4675" s="102">
        <v>44909</v>
      </c>
      <c r="B4675">
        <v>0</v>
      </c>
      <c r="C4675" s="106">
        <v>4490560</v>
      </c>
    </row>
    <row r="4676" spans="1:3">
      <c r="A4676" s="102">
        <v>44910</v>
      </c>
      <c r="B4676">
        <v>1</v>
      </c>
      <c r="C4676" s="106">
        <v>4433832</v>
      </c>
    </row>
    <row r="4677" spans="1:3">
      <c r="A4677" s="102">
        <v>44911</v>
      </c>
      <c r="B4677">
        <v>0</v>
      </c>
      <c r="C4677" s="106">
        <v>4441940</v>
      </c>
    </row>
    <row r="4678" spans="1:3">
      <c r="A4678" s="102">
        <v>44912</v>
      </c>
      <c r="B4678">
        <v>0</v>
      </c>
      <c r="C4678" s="106">
        <v>4441940</v>
      </c>
    </row>
    <row r="4679" spans="1:3">
      <c r="A4679" s="102">
        <v>44913</v>
      </c>
      <c r="B4679">
        <v>0</v>
      </c>
      <c r="C4679" s="106">
        <v>4441940</v>
      </c>
    </row>
    <row r="4680" spans="1:3">
      <c r="A4680" s="102">
        <v>44914</v>
      </c>
      <c r="B4680">
        <v>1</v>
      </c>
      <c r="C4680" s="106">
        <v>4407558</v>
      </c>
    </row>
    <row r="4681" spans="1:3">
      <c r="A4681" s="102">
        <v>44915</v>
      </c>
      <c r="B4681">
        <v>3</v>
      </c>
      <c r="C4681" s="106">
        <v>4427616</v>
      </c>
    </row>
    <row r="4682" spans="1:3">
      <c r="A4682" s="102">
        <v>44916</v>
      </c>
      <c r="B4682">
        <v>204</v>
      </c>
      <c r="C4682" s="106">
        <v>3774735</v>
      </c>
    </row>
    <row r="4683" spans="1:3">
      <c r="A4683" s="102">
        <v>44917</v>
      </c>
      <c r="B4683">
        <v>0</v>
      </c>
      <c r="C4683" s="106">
        <v>3913451</v>
      </c>
    </row>
    <row r="4684" spans="1:3">
      <c r="A4684" s="102">
        <v>44918</v>
      </c>
      <c r="B4684">
        <v>157</v>
      </c>
      <c r="C4684" s="106">
        <v>4004387</v>
      </c>
    </row>
    <row r="4685" spans="1:3">
      <c r="A4685" s="102">
        <v>44919</v>
      </c>
      <c r="B4685">
        <v>157</v>
      </c>
      <c r="C4685" s="106">
        <v>4004387</v>
      </c>
    </row>
    <row r="4686" spans="1:3">
      <c r="A4686" s="102">
        <v>44920</v>
      </c>
      <c r="B4686">
        <v>157</v>
      </c>
      <c r="C4686" s="106">
        <v>4004387</v>
      </c>
    </row>
    <row r="4687" spans="1:3">
      <c r="A4687" s="102">
        <v>44921</v>
      </c>
      <c r="B4687">
        <v>157</v>
      </c>
      <c r="C4687" s="106">
        <v>4004387</v>
      </c>
    </row>
    <row r="4688" spans="1:3">
      <c r="A4688" s="102">
        <v>44922</v>
      </c>
      <c r="B4688">
        <v>87</v>
      </c>
      <c r="C4688" s="106">
        <v>3963927</v>
      </c>
    </row>
    <row r="4689" spans="1:3">
      <c r="A4689" s="102">
        <v>44923</v>
      </c>
      <c r="B4689">
        <v>169</v>
      </c>
      <c r="C4689" s="106">
        <v>3966385</v>
      </c>
    </row>
    <row r="4690" spans="1:3">
      <c r="A4690" s="102">
        <v>44924</v>
      </c>
      <c r="B4690">
        <v>103</v>
      </c>
      <c r="C4690" s="106">
        <v>3921044</v>
      </c>
    </row>
    <row r="4691" spans="1:3">
      <c r="A4691" s="102">
        <v>44925</v>
      </c>
      <c r="B4691">
        <v>519</v>
      </c>
      <c r="C4691" s="106">
        <v>3778787</v>
      </c>
    </row>
    <row r="4692" spans="1:3">
      <c r="A4692" s="102">
        <v>44926</v>
      </c>
      <c r="B4692">
        <v>519</v>
      </c>
      <c r="C4692" s="106">
        <v>3778787</v>
      </c>
    </row>
    <row r="4693" spans="1:3">
      <c r="A4693" s="102">
        <v>44927</v>
      </c>
      <c r="B4693">
        <v>519</v>
      </c>
      <c r="C4693" s="106">
        <v>3778787</v>
      </c>
    </row>
    <row r="4694" spans="1:3">
      <c r="A4694" s="102">
        <v>44928</v>
      </c>
      <c r="B4694">
        <v>295</v>
      </c>
      <c r="C4694" s="106">
        <v>3916460</v>
      </c>
    </row>
    <row r="4695" spans="1:3">
      <c r="A4695" s="102">
        <v>44929</v>
      </c>
      <c r="B4695">
        <v>163</v>
      </c>
      <c r="C4695" s="106">
        <v>4016173</v>
      </c>
    </row>
    <row r="4696" spans="1:3">
      <c r="A4696" s="102">
        <v>44930</v>
      </c>
      <c r="B4696">
        <v>55</v>
      </c>
      <c r="C4696" s="106">
        <v>4060535</v>
      </c>
    </row>
    <row r="4697" spans="1:3">
      <c r="A4697" s="102">
        <v>44931</v>
      </c>
      <c r="B4697">
        <v>4</v>
      </c>
      <c r="C4697" s="106">
        <v>4086778</v>
      </c>
    </row>
    <row r="4698" spans="1:3">
      <c r="A4698" s="102">
        <v>44932</v>
      </c>
      <c r="B4698">
        <v>0</v>
      </c>
      <c r="C4698" s="106">
        <v>4085320</v>
      </c>
    </row>
    <row r="4699" spans="1:3">
      <c r="A4699" s="102">
        <v>44933</v>
      </c>
      <c r="B4699">
        <v>0</v>
      </c>
      <c r="C4699" s="106">
        <v>4085320</v>
      </c>
    </row>
    <row r="4700" spans="1:3">
      <c r="A4700" s="102">
        <v>44934</v>
      </c>
      <c r="B4700">
        <v>0</v>
      </c>
      <c r="C4700" s="106">
        <v>4085320</v>
      </c>
    </row>
    <row r="4701" spans="1:3">
      <c r="A4701" s="102">
        <v>44935</v>
      </c>
      <c r="B4701">
        <v>0</v>
      </c>
      <c r="C4701" s="106">
        <v>4108780</v>
      </c>
    </row>
    <row r="4702" spans="1:3">
      <c r="A4702" s="102">
        <v>44936</v>
      </c>
      <c r="B4702">
        <v>12</v>
      </c>
      <c r="C4702" s="106">
        <v>4130057</v>
      </c>
    </row>
    <row r="4703" spans="1:3">
      <c r="A4703" s="102">
        <v>44937</v>
      </c>
      <c r="B4703">
        <v>25</v>
      </c>
      <c r="C4703" s="106">
        <v>4118158</v>
      </c>
    </row>
    <row r="4704" spans="1:3">
      <c r="A4704" s="102">
        <v>44938</v>
      </c>
      <c r="B4704">
        <v>0</v>
      </c>
      <c r="C4704" s="106">
        <v>4118388</v>
      </c>
    </row>
    <row r="4705" spans="1:3">
      <c r="A4705" s="102">
        <v>44939</v>
      </c>
      <c r="B4705">
        <v>0</v>
      </c>
      <c r="C4705" s="106">
        <v>4126243</v>
      </c>
    </row>
    <row r="4706" spans="1:3">
      <c r="A4706" s="102">
        <v>44940</v>
      </c>
      <c r="B4706">
        <v>0</v>
      </c>
      <c r="C4706" s="106">
        <v>4126243</v>
      </c>
    </row>
    <row r="4707" spans="1:3">
      <c r="A4707" s="102">
        <v>44941</v>
      </c>
      <c r="B4707">
        <v>0</v>
      </c>
      <c r="C4707" s="106">
        <v>4126243</v>
      </c>
    </row>
    <row r="4708" spans="1:3">
      <c r="A4708" s="102">
        <v>44942</v>
      </c>
      <c r="B4708">
        <v>0</v>
      </c>
      <c r="C4708" s="106">
        <v>4132474</v>
      </c>
    </row>
    <row r="4709" spans="1:3">
      <c r="A4709" s="102">
        <v>44943</v>
      </c>
      <c r="B4709">
        <v>0</v>
      </c>
      <c r="C4709" s="106">
        <v>4143021</v>
      </c>
    </row>
    <row r="4710" spans="1:3">
      <c r="A4710" s="102">
        <v>44944</v>
      </c>
      <c r="B4710">
        <v>0</v>
      </c>
      <c r="C4710" s="106">
        <v>4112612</v>
      </c>
    </row>
    <row r="4711" spans="1:3">
      <c r="A4711" s="102">
        <v>44945</v>
      </c>
      <c r="B4711">
        <v>0</v>
      </c>
      <c r="C4711" s="106">
        <v>4152189</v>
      </c>
    </row>
    <row r="4712" spans="1:3">
      <c r="A4712" s="102">
        <v>44946</v>
      </c>
      <c r="B4712">
        <v>0</v>
      </c>
      <c r="C4712" s="106">
        <v>4161261</v>
      </c>
    </row>
    <row r="4713" spans="1:3">
      <c r="A4713" s="102">
        <v>44947</v>
      </c>
      <c r="B4713">
        <v>0</v>
      </c>
      <c r="C4713" s="106">
        <v>4161261</v>
      </c>
    </row>
    <row r="4714" spans="1:3">
      <c r="A4714" s="102">
        <v>44948</v>
      </c>
      <c r="B4714">
        <v>0</v>
      </c>
      <c r="C4714" s="106">
        <v>4161261</v>
      </c>
    </row>
    <row r="4715" spans="1:3">
      <c r="A4715" s="102">
        <v>44949</v>
      </c>
      <c r="B4715">
        <v>0</v>
      </c>
      <c r="C4715" s="106">
        <v>4153891</v>
      </c>
    </row>
    <row r="4716" spans="1:3">
      <c r="A4716" s="102">
        <v>44950</v>
      </c>
      <c r="B4716">
        <v>0</v>
      </c>
      <c r="C4716" s="106">
        <v>4159598</v>
      </c>
    </row>
    <row r="4717" spans="1:3">
      <c r="A4717" s="102">
        <v>44951</v>
      </c>
      <c r="B4717">
        <v>87</v>
      </c>
      <c r="C4717" s="106">
        <v>4098295</v>
      </c>
    </row>
    <row r="4718" spans="1:3">
      <c r="A4718" s="102">
        <v>44952</v>
      </c>
      <c r="B4718">
        <v>2</v>
      </c>
      <c r="C4718" s="106">
        <v>4092072</v>
      </c>
    </row>
    <row r="4719" spans="1:3">
      <c r="A4719" s="102">
        <v>44953</v>
      </c>
      <c r="B4719">
        <v>2</v>
      </c>
      <c r="C4719" s="106">
        <v>4091722</v>
      </c>
    </row>
    <row r="4720" spans="1:3">
      <c r="A4720" s="102">
        <v>44954</v>
      </c>
      <c r="B4720">
        <v>2</v>
      </c>
      <c r="C4720" s="106">
        <v>4091722</v>
      </c>
    </row>
    <row r="4721" spans="1:3">
      <c r="A4721" s="102">
        <v>44955</v>
      </c>
      <c r="B4721">
        <v>2</v>
      </c>
      <c r="C4721" s="106">
        <v>4091722</v>
      </c>
    </row>
    <row r="4722" spans="1:3">
      <c r="A4722" s="102">
        <v>44956</v>
      </c>
      <c r="B4722">
        <v>5</v>
      </c>
      <c r="C4722" s="106">
        <v>4071834</v>
      </c>
    </row>
    <row r="4723" spans="1:3">
      <c r="A4723" s="102">
        <v>44957</v>
      </c>
      <c r="B4723">
        <v>110</v>
      </c>
      <c r="C4723" s="106">
        <v>3997189</v>
      </c>
    </row>
    <row r="4724" spans="1:3">
      <c r="A4724" s="102">
        <v>44958</v>
      </c>
      <c r="B4724">
        <v>50</v>
      </c>
      <c r="C4724" s="106">
        <v>4108848</v>
      </c>
    </row>
    <row r="4725" spans="1:3">
      <c r="A4725" s="102">
        <v>44959</v>
      </c>
      <c r="B4725">
        <v>32</v>
      </c>
      <c r="C4725" s="106">
        <v>4090188</v>
      </c>
    </row>
    <row r="4726" spans="1:3">
      <c r="A4726" s="102">
        <v>44960</v>
      </c>
      <c r="B4726">
        <v>24</v>
      </c>
      <c r="C4726" s="106">
        <v>4079293</v>
      </c>
    </row>
    <row r="4727" spans="1:3">
      <c r="A4727" s="102">
        <v>44961</v>
      </c>
      <c r="B4727">
        <v>24</v>
      </c>
      <c r="C4727" s="106">
        <v>4079293</v>
      </c>
    </row>
    <row r="4728" spans="1:3">
      <c r="A4728" s="102">
        <v>44962</v>
      </c>
      <c r="B4728">
        <v>24</v>
      </c>
      <c r="C4728" s="106">
        <v>4079293</v>
      </c>
    </row>
    <row r="4729" spans="1:3">
      <c r="A4729" s="102">
        <v>44963</v>
      </c>
      <c r="B4729">
        <v>25</v>
      </c>
      <c r="C4729" s="106">
        <v>4040269</v>
      </c>
    </row>
    <row r="4730" spans="1:3">
      <c r="A4730" s="102">
        <v>44964</v>
      </c>
      <c r="B4730">
        <v>39</v>
      </c>
      <c r="C4730" s="106">
        <v>4093278</v>
      </c>
    </row>
    <row r="4731" spans="1:3">
      <c r="A4731" s="102">
        <v>44965</v>
      </c>
      <c r="B4731">
        <v>40</v>
      </c>
      <c r="C4731" s="106">
        <v>3925870</v>
      </c>
    </row>
    <row r="4732" spans="1:3">
      <c r="A4732" s="102">
        <v>44966</v>
      </c>
      <c r="B4732">
        <v>51</v>
      </c>
      <c r="C4732" s="106">
        <v>4087852</v>
      </c>
    </row>
    <row r="4733" spans="1:3">
      <c r="A4733" s="102">
        <v>44967</v>
      </c>
      <c r="B4733">
        <v>55</v>
      </c>
      <c r="C4733" s="106">
        <v>4138559</v>
      </c>
    </row>
    <row r="4734" spans="1:3">
      <c r="A4734" s="102">
        <v>44968</v>
      </c>
      <c r="B4734">
        <v>55</v>
      </c>
      <c r="C4734" s="106">
        <v>4138559</v>
      </c>
    </row>
    <row r="4735" spans="1:3">
      <c r="A4735" s="102">
        <v>44969</v>
      </c>
      <c r="B4735">
        <v>55</v>
      </c>
      <c r="C4735" s="106">
        <v>4138559</v>
      </c>
    </row>
    <row r="4736" spans="1:3">
      <c r="A4736" s="102">
        <v>44970</v>
      </c>
      <c r="B4736">
        <v>79</v>
      </c>
      <c r="C4736" s="106">
        <v>4155771</v>
      </c>
    </row>
    <row r="4737" spans="1:3">
      <c r="A4737" s="102">
        <v>44971</v>
      </c>
      <c r="B4737">
        <v>80</v>
      </c>
      <c r="C4737" s="106">
        <v>4168355</v>
      </c>
    </row>
    <row r="4738" spans="1:3">
      <c r="A4738" s="102">
        <v>44972</v>
      </c>
      <c r="B4738">
        <v>0</v>
      </c>
      <c r="C4738" s="106">
        <v>4156423</v>
      </c>
    </row>
    <row r="4739" spans="1:3">
      <c r="A4739" s="102">
        <v>44973</v>
      </c>
      <c r="B4739">
        <v>0</v>
      </c>
      <c r="C4739" s="106">
        <v>4163451</v>
      </c>
    </row>
    <row r="4740" spans="1:3">
      <c r="A4740" s="102">
        <v>44974</v>
      </c>
      <c r="B4740">
        <v>31</v>
      </c>
      <c r="C4740" s="106">
        <v>4167387</v>
      </c>
    </row>
    <row r="4741" spans="1:3">
      <c r="A4741" s="102">
        <v>44975</v>
      </c>
      <c r="B4741">
        <v>31</v>
      </c>
      <c r="C4741" s="106">
        <v>4167387</v>
      </c>
    </row>
    <row r="4742" spans="1:3">
      <c r="A4742" s="102">
        <v>44976</v>
      </c>
      <c r="B4742">
        <v>31</v>
      </c>
      <c r="C4742" s="106">
        <v>4167387</v>
      </c>
    </row>
    <row r="4743" spans="1:3">
      <c r="A4743" s="102">
        <v>44977</v>
      </c>
      <c r="B4743">
        <v>5</v>
      </c>
      <c r="C4743" s="106">
        <v>4128239</v>
      </c>
    </row>
    <row r="4744" spans="1:3">
      <c r="A4744" s="102">
        <v>44978</v>
      </c>
      <c r="B4744">
        <v>73</v>
      </c>
      <c r="C4744" s="106">
        <v>4125239</v>
      </c>
    </row>
    <row r="4745" spans="1:3">
      <c r="A4745" s="102">
        <v>44979</v>
      </c>
      <c r="B4745">
        <v>192</v>
      </c>
      <c r="C4745" s="106">
        <v>4111361</v>
      </c>
    </row>
    <row r="4746" spans="1:3">
      <c r="A4746" s="102">
        <v>44980</v>
      </c>
      <c r="B4746">
        <v>57</v>
      </c>
      <c r="C4746" s="106">
        <v>4111526</v>
      </c>
    </row>
    <row r="4747" spans="1:3">
      <c r="A4747" s="102">
        <v>44981</v>
      </c>
      <c r="B4747">
        <v>35</v>
      </c>
      <c r="C4747" s="106">
        <v>4112013</v>
      </c>
    </row>
    <row r="4748" spans="1:3">
      <c r="A4748" s="102">
        <v>44982</v>
      </c>
      <c r="B4748">
        <v>35</v>
      </c>
      <c r="C4748" s="106">
        <v>4112013</v>
      </c>
    </row>
    <row r="4749" spans="1:3">
      <c r="A4749" s="102">
        <v>44983</v>
      </c>
      <c r="B4749">
        <v>35</v>
      </c>
      <c r="C4749" s="106">
        <v>4112013</v>
      </c>
    </row>
    <row r="4750" spans="1:3">
      <c r="A4750" s="102">
        <v>44984</v>
      </c>
      <c r="B4750">
        <v>127</v>
      </c>
      <c r="C4750" s="106">
        <v>4116000</v>
      </c>
    </row>
    <row r="4751" spans="1:3">
      <c r="A4751" s="102">
        <v>44985</v>
      </c>
      <c r="B4751">
        <v>180</v>
      </c>
      <c r="C4751" s="106">
        <v>4104789</v>
      </c>
    </row>
    <row r="4752" spans="1:3">
      <c r="A4752" s="102">
        <v>44986</v>
      </c>
      <c r="B4752">
        <v>23</v>
      </c>
      <c r="C4752" s="106">
        <v>4140874</v>
      </c>
    </row>
    <row r="4753" spans="1:3">
      <c r="A4753" s="102">
        <v>44987</v>
      </c>
      <c r="B4753">
        <v>3</v>
      </c>
      <c r="C4753" s="106">
        <v>4129447</v>
      </c>
    </row>
    <row r="4754" spans="1:3">
      <c r="A4754" s="102">
        <v>44988</v>
      </c>
      <c r="B4754">
        <v>4</v>
      </c>
      <c r="C4754" s="106">
        <v>4138480</v>
      </c>
    </row>
    <row r="4755" spans="1:3">
      <c r="A4755" s="102">
        <v>44989</v>
      </c>
      <c r="B4755">
        <v>4</v>
      </c>
      <c r="C4755" s="106">
        <v>4138480</v>
      </c>
    </row>
    <row r="4756" spans="1:3">
      <c r="A4756" s="102">
        <v>44990</v>
      </c>
      <c r="B4756">
        <v>4</v>
      </c>
      <c r="C4756" s="106">
        <v>4138480</v>
      </c>
    </row>
    <row r="4757" spans="1:3">
      <c r="A4757" s="102">
        <v>44991</v>
      </c>
      <c r="B4757">
        <v>4</v>
      </c>
      <c r="C4757" s="106">
        <v>4145546</v>
      </c>
    </row>
    <row r="4758" spans="1:3">
      <c r="A4758" s="102">
        <v>44992</v>
      </c>
      <c r="B4758">
        <v>6</v>
      </c>
      <c r="C4758" s="106">
        <v>4145316</v>
      </c>
    </row>
    <row r="4759" spans="1:3">
      <c r="A4759" s="102">
        <v>44993</v>
      </c>
      <c r="B4759">
        <v>20</v>
      </c>
      <c r="C4759" s="106">
        <v>4148312</v>
      </c>
    </row>
    <row r="4760" spans="1:3">
      <c r="A4760" s="102">
        <v>44994</v>
      </c>
      <c r="B4760">
        <v>0</v>
      </c>
      <c r="C4760" s="106">
        <v>4164791</v>
      </c>
    </row>
    <row r="4761" spans="1:3">
      <c r="A4761" s="102">
        <v>44995</v>
      </c>
      <c r="B4761">
        <v>0</v>
      </c>
      <c r="C4761" s="106">
        <v>4158318</v>
      </c>
    </row>
    <row r="4762" spans="1:3">
      <c r="A4762" s="102">
        <v>44996</v>
      </c>
      <c r="B4762">
        <v>0</v>
      </c>
      <c r="C4762" s="106">
        <v>4158318</v>
      </c>
    </row>
    <row r="4763" spans="1:3">
      <c r="A4763" s="102">
        <v>44997</v>
      </c>
      <c r="B4763">
        <v>0</v>
      </c>
      <c r="C4763" s="106">
        <v>4158318</v>
      </c>
    </row>
    <row r="4764" spans="1:3">
      <c r="A4764" s="102">
        <v>44998</v>
      </c>
      <c r="B4764">
        <v>0</v>
      </c>
      <c r="C4764" s="106">
        <v>4133928</v>
      </c>
    </row>
    <row r="4765" spans="1:3">
      <c r="A4765" s="102">
        <v>44999</v>
      </c>
      <c r="B4765">
        <v>0</v>
      </c>
      <c r="C4765" s="106">
        <v>4109402</v>
      </c>
    </row>
    <row r="4766" spans="1:3">
      <c r="A4766" s="102">
        <v>45000</v>
      </c>
      <c r="B4766">
        <v>6</v>
      </c>
      <c r="C4766" s="106">
        <v>4030657</v>
      </c>
    </row>
    <row r="4767" spans="1:3">
      <c r="A4767" s="102">
        <v>45001</v>
      </c>
      <c r="B4767">
        <v>26</v>
      </c>
      <c r="C4767" s="106">
        <v>3985739</v>
      </c>
    </row>
    <row r="4768" spans="1:3">
      <c r="A4768" s="102">
        <v>45002</v>
      </c>
      <c r="B4768">
        <v>15</v>
      </c>
      <c r="C4768" s="106">
        <v>3939795</v>
      </c>
    </row>
    <row r="4769" spans="1:3">
      <c r="A4769" s="102">
        <v>45003</v>
      </c>
      <c r="B4769">
        <v>15</v>
      </c>
      <c r="C4769" s="106">
        <v>3939795</v>
      </c>
    </row>
    <row r="4770" spans="1:3">
      <c r="A4770" s="102">
        <v>45004</v>
      </c>
      <c r="B4770">
        <v>15</v>
      </c>
      <c r="C4770" s="106">
        <v>3939795</v>
      </c>
    </row>
    <row r="4771" spans="1:3">
      <c r="A4771" s="102">
        <v>45005</v>
      </c>
      <c r="B4771">
        <v>87</v>
      </c>
      <c r="C4771" s="106">
        <v>3882633</v>
      </c>
    </row>
    <row r="4772" spans="1:3">
      <c r="A4772" s="102">
        <v>45006</v>
      </c>
      <c r="B4772">
        <v>192</v>
      </c>
      <c r="C4772" s="106">
        <v>3990905</v>
      </c>
    </row>
    <row r="4773" spans="1:3">
      <c r="A4773" s="102">
        <v>45007</v>
      </c>
      <c r="B4773">
        <v>71</v>
      </c>
      <c r="C4773" s="106">
        <v>3855896</v>
      </c>
    </row>
    <row r="4774" spans="1:3">
      <c r="A4774" s="102">
        <v>45008</v>
      </c>
      <c r="B4774">
        <v>67</v>
      </c>
      <c r="C4774" s="106">
        <v>4009578</v>
      </c>
    </row>
    <row r="4775" spans="1:3">
      <c r="A4775" s="102">
        <v>45009</v>
      </c>
      <c r="B4775">
        <v>57</v>
      </c>
      <c r="C4775" s="106">
        <v>4000448</v>
      </c>
    </row>
    <row r="4776" spans="1:3">
      <c r="A4776" s="102">
        <v>45010</v>
      </c>
      <c r="B4776">
        <v>57</v>
      </c>
      <c r="C4776" s="106">
        <v>4000448</v>
      </c>
    </row>
    <row r="4777" spans="1:3">
      <c r="A4777" s="102">
        <v>45011</v>
      </c>
      <c r="B4777">
        <v>57</v>
      </c>
      <c r="C4777" s="106">
        <v>4000448</v>
      </c>
    </row>
    <row r="4778" spans="1:3">
      <c r="A4778" s="102">
        <v>45012</v>
      </c>
      <c r="B4778">
        <v>79</v>
      </c>
      <c r="C4778" s="106">
        <v>4017427</v>
      </c>
    </row>
    <row r="4779" spans="1:3">
      <c r="A4779" s="102">
        <v>45013</v>
      </c>
      <c r="B4779">
        <v>60</v>
      </c>
      <c r="C4779" s="106">
        <v>4007528</v>
      </c>
    </row>
    <row r="4780" spans="1:3">
      <c r="A4780" s="102">
        <v>45014</v>
      </c>
      <c r="B4780">
        <v>89</v>
      </c>
      <c r="C4780" s="106">
        <v>3906179</v>
      </c>
    </row>
    <row r="4781" spans="1:3">
      <c r="A4781" s="102">
        <v>45015</v>
      </c>
      <c r="B4781">
        <v>113</v>
      </c>
      <c r="C4781" s="106">
        <v>3902297</v>
      </c>
    </row>
    <row r="4782" spans="1:3">
      <c r="A4782" s="102">
        <v>45016</v>
      </c>
      <c r="B4782">
        <v>168</v>
      </c>
      <c r="C4782" s="106">
        <v>3836568</v>
      </c>
    </row>
    <row r="4783" spans="1:3">
      <c r="A4783" s="102">
        <v>45017</v>
      </c>
      <c r="B4783">
        <v>168</v>
      </c>
      <c r="C4783" s="106">
        <v>3836568</v>
      </c>
    </row>
    <row r="4784" spans="1:3">
      <c r="A4784" s="102">
        <v>45018</v>
      </c>
      <c r="B4784">
        <v>168</v>
      </c>
      <c r="C4784" s="106">
        <v>3836568</v>
      </c>
    </row>
    <row r="4785" spans="1:3">
      <c r="A4785" s="102">
        <v>45019</v>
      </c>
      <c r="B4785">
        <v>88</v>
      </c>
      <c r="C4785" s="106">
        <v>3895423</v>
      </c>
    </row>
    <row r="4786" spans="1:3">
      <c r="A4786" s="102">
        <v>45020</v>
      </c>
      <c r="B4786">
        <v>15</v>
      </c>
      <c r="C4786" s="106">
        <v>3988890</v>
      </c>
    </row>
    <row r="4787" spans="1:3">
      <c r="A4787" s="102">
        <v>45021</v>
      </c>
      <c r="B4787">
        <v>34</v>
      </c>
      <c r="C4787" s="106">
        <v>3976889</v>
      </c>
    </row>
    <row r="4788" spans="1:3">
      <c r="A4788" s="102">
        <v>45022</v>
      </c>
      <c r="B4788">
        <v>26</v>
      </c>
      <c r="C4788" s="106">
        <v>4008717</v>
      </c>
    </row>
    <row r="4789" spans="1:3">
      <c r="A4789" s="102">
        <v>45023</v>
      </c>
      <c r="B4789">
        <v>26</v>
      </c>
      <c r="C4789" s="106">
        <v>4008717</v>
      </c>
    </row>
    <row r="4790" spans="1:3">
      <c r="A4790" s="102">
        <v>45024</v>
      </c>
      <c r="B4790">
        <v>26</v>
      </c>
      <c r="C4790" s="106">
        <v>4008717</v>
      </c>
    </row>
    <row r="4791" spans="1:3">
      <c r="A4791" s="102">
        <v>45025</v>
      </c>
      <c r="B4791">
        <v>26</v>
      </c>
      <c r="C4791" s="106">
        <v>4008717</v>
      </c>
    </row>
    <row r="4792" spans="1:3">
      <c r="A4792" s="102">
        <v>45026</v>
      </c>
      <c r="B4792">
        <v>26</v>
      </c>
      <c r="C4792" s="106">
        <v>4008717</v>
      </c>
    </row>
    <row r="4793" spans="1:3">
      <c r="A4793" s="102">
        <v>45027</v>
      </c>
      <c r="B4793">
        <v>44</v>
      </c>
      <c r="C4793" s="106">
        <v>4006662</v>
      </c>
    </row>
    <row r="4794" spans="1:3">
      <c r="A4794" s="102">
        <v>45028</v>
      </c>
      <c r="B4794">
        <v>3</v>
      </c>
      <c r="C4794" s="106">
        <v>3999569</v>
      </c>
    </row>
    <row r="4795" spans="1:3">
      <c r="A4795" s="102">
        <v>45029</v>
      </c>
      <c r="B4795">
        <v>3</v>
      </c>
      <c r="C4795" s="106">
        <v>4001225</v>
      </c>
    </row>
    <row r="4796" spans="1:3">
      <c r="A4796" s="102">
        <v>45030</v>
      </c>
      <c r="B4796">
        <v>0</v>
      </c>
      <c r="C4796" s="106">
        <v>4016801</v>
      </c>
    </row>
    <row r="4797" spans="1:3">
      <c r="A4797" s="102">
        <v>45031</v>
      </c>
      <c r="B4797">
        <v>0</v>
      </c>
      <c r="C4797" s="106">
        <v>4016801</v>
      </c>
    </row>
    <row r="4798" spans="1:3">
      <c r="A4798" s="102">
        <v>45032</v>
      </c>
      <c r="B4798">
        <v>0</v>
      </c>
      <c r="C4798" s="106">
        <v>4016801</v>
      </c>
    </row>
    <row r="4799" spans="1:3">
      <c r="A4799" s="102">
        <v>45033</v>
      </c>
      <c r="B4799">
        <v>49</v>
      </c>
      <c r="C4799" s="106">
        <v>3994191</v>
      </c>
    </row>
    <row r="4800" spans="1:3">
      <c r="A4800" s="102">
        <v>45034</v>
      </c>
      <c r="B4800">
        <v>43</v>
      </c>
      <c r="C4800" s="106">
        <v>4015228</v>
      </c>
    </row>
    <row r="4801" spans="1:3">
      <c r="A4801" s="102">
        <v>45035</v>
      </c>
      <c r="B4801">
        <v>0</v>
      </c>
      <c r="C4801" s="106">
        <v>3993753</v>
      </c>
    </row>
    <row r="4802" spans="1:3">
      <c r="A4802" s="102">
        <v>45036</v>
      </c>
      <c r="B4802">
        <v>1860</v>
      </c>
      <c r="C4802" s="106">
        <v>4002711</v>
      </c>
    </row>
    <row r="4803" spans="1:3">
      <c r="A4803" s="102">
        <v>45037</v>
      </c>
      <c r="B4803">
        <v>6</v>
      </c>
      <c r="C4803" s="106">
        <v>4016323</v>
      </c>
    </row>
    <row r="4804" spans="1:3">
      <c r="A4804" s="102">
        <v>45038</v>
      </c>
      <c r="B4804">
        <v>6</v>
      </c>
      <c r="C4804" s="106">
        <v>4016323</v>
      </c>
    </row>
    <row r="4805" spans="1:3">
      <c r="A4805" s="102">
        <v>45039</v>
      </c>
      <c r="B4805">
        <v>6</v>
      </c>
      <c r="C4805" s="106">
        <v>4016323</v>
      </c>
    </row>
    <row r="4806" spans="1:3">
      <c r="A4806" s="102">
        <v>45040</v>
      </c>
      <c r="B4806">
        <v>11</v>
      </c>
      <c r="C4806" s="106">
        <v>4014169</v>
      </c>
    </row>
    <row r="4807" spans="1:3">
      <c r="A4807" s="102">
        <v>45041</v>
      </c>
      <c r="B4807">
        <v>11</v>
      </c>
      <c r="C4807" s="106">
        <v>4024169</v>
      </c>
    </row>
    <row r="4808" spans="1:3">
      <c r="A4808" s="102">
        <v>45042</v>
      </c>
      <c r="B4808">
        <v>57</v>
      </c>
      <c r="C4808" s="106">
        <v>4004338</v>
      </c>
    </row>
    <row r="4809" spans="1:3">
      <c r="A4809" s="102">
        <v>45043</v>
      </c>
      <c r="B4809">
        <v>14</v>
      </c>
      <c r="C4809" s="106">
        <v>3065447</v>
      </c>
    </row>
    <row r="4810" spans="1:3">
      <c r="A4810" s="102">
        <v>45044</v>
      </c>
      <c r="B4810">
        <v>180</v>
      </c>
      <c r="C4810" s="106">
        <v>3981926</v>
      </c>
    </row>
    <row r="4811" spans="1:3">
      <c r="A4811" s="102">
        <v>45045</v>
      </c>
      <c r="B4811">
        <v>180</v>
      </c>
      <c r="C4811" s="106">
        <v>3981926</v>
      </c>
    </row>
    <row r="4812" spans="1:3">
      <c r="A4812" s="102">
        <v>45046</v>
      </c>
      <c r="B4812">
        <v>180</v>
      </c>
      <c r="C4812" s="106">
        <v>3981926</v>
      </c>
    </row>
    <row r="4813" spans="1:3">
      <c r="A4813" s="102">
        <v>45047</v>
      </c>
      <c r="B4813">
        <v>180</v>
      </c>
      <c r="C4813" s="106">
        <v>3981926</v>
      </c>
    </row>
    <row r="4814" spans="1:3">
      <c r="A4814" s="102">
        <v>45048</v>
      </c>
      <c r="B4814">
        <v>130</v>
      </c>
      <c r="C4814" s="106">
        <v>4069682</v>
      </c>
    </row>
    <row r="4815" spans="1:3">
      <c r="A4815" s="102">
        <v>45049</v>
      </c>
      <c r="B4815">
        <v>60</v>
      </c>
      <c r="C4815" s="106">
        <v>4072374</v>
      </c>
    </row>
    <row r="4816" spans="1:3">
      <c r="A4816" s="102">
        <v>45050</v>
      </c>
      <c r="B4816">
        <v>0</v>
      </c>
      <c r="C4816" s="106">
        <v>4057595</v>
      </c>
    </row>
    <row r="4817" spans="1:3">
      <c r="A4817" s="102">
        <v>45051</v>
      </c>
      <c r="B4817">
        <v>2</v>
      </c>
      <c r="C4817" s="106">
        <v>4066148</v>
      </c>
    </row>
    <row r="4818" spans="1:3">
      <c r="A4818" s="102">
        <v>45052</v>
      </c>
      <c r="B4818">
        <v>2</v>
      </c>
      <c r="C4818" s="106">
        <v>4066148</v>
      </c>
    </row>
    <row r="4819" spans="1:3">
      <c r="A4819" s="102">
        <v>45053</v>
      </c>
      <c r="B4819">
        <v>2</v>
      </c>
      <c r="C4819" s="106">
        <v>4066148</v>
      </c>
    </row>
    <row r="4820" spans="1:3">
      <c r="A4820" s="102">
        <v>45054</v>
      </c>
      <c r="B4820">
        <v>2</v>
      </c>
      <c r="C4820" s="106">
        <v>4026366</v>
      </c>
    </row>
    <row r="4821" spans="1:3">
      <c r="A4821" s="102">
        <v>45055</v>
      </c>
      <c r="B4821">
        <v>13</v>
      </c>
      <c r="C4821" s="106">
        <v>4046278</v>
      </c>
    </row>
    <row r="4822" spans="1:3">
      <c r="A4822" s="102">
        <v>45056</v>
      </c>
      <c r="B4822">
        <v>0</v>
      </c>
      <c r="C4822" s="106">
        <v>3930578</v>
      </c>
    </row>
    <row r="4823" spans="1:3">
      <c r="A4823" s="102">
        <v>45057</v>
      </c>
      <c r="B4823">
        <v>0</v>
      </c>
      <c r="C4823" s="106">
        <v>4086241</v>
      </c>
    </row>
    <row r="4824" spans="1:3">
      <c r="A4824" s="102">
        <v>45058</v>
      </c>
      <c r="B4824">
        <v>0</v>
      </c>
      <c r="C4824" s="106">
        <v>4131224</v>
      </c>
    </row>
    <row r="4825" spans="1:3">
      <c r="A4825" s="102">
        <v>45059</v>
      </c>
      <c r="B4825">
        <v>0</v>
      </c>
      <c r="C4825" s="106">
        <v>4131224</v>
      </c>
    </row>
    <row r="4826" spans="1:3">
      <c r="A4826" s="102">
        <v>45060</v>
      </c>
      <c r="B4826">
        <v>0</v>
      </c>
      <c r="C4826" s="106">
        <v>4131224</v>
      </c>
    </row>
    <row r="4827" spans="1:3">
      <c r="A4827" s="102">
        <v>45061</v>
      </c>
      <c r="B4827">
        <v>0</v>
      </c>
      <c r="C4827" s="106">
        <v>4118370</v>
      </c>
    </row>
    <row r="4828" spans="1:3">
      <c r="A4828" s="102">
        <v>45062</v>
      </c>
      <c r="B4828">
        <v>8</v>
      </c>
      <c r="C4828" s="106">
        <v>4131607</v>
      </c>
    </row>
    <row r="4829" spans="1:3">
      <c r="A4829" s="102">
        <v>45063</v>
      </c>
      <c r="B4829">
        <v>18</v>
      </c>
      <c r="C4829" s="106">
        <v>4136845</v>
      </c>
    </row>
    <row r="4830" spans="1:3">
      <c r="A4830" s="102">
        <v>45064</v>
      </c>
      <c r="B4830">
        <v>0</v>
      </c>
      <c r="C4830" s="106">
        <v>4080351</v>
      </c>
    </row>
    <row r="4831" spans="1:3">
      <c r="A4831" s="102">
        <v>45065</v>
      </c>
      <c r="B4831">
        <v>0</v>
      </c>
      <c r="C4831" s="106">
        <v>4124152</v>
      </c>
    </row>
    <row r="4832" spans="1:3">
      <c r="A4832" s="102">
        <v>45066</v>
      </c>
      <c r="B4832">
        <v>0</v>
      </c>
      <c r="C4832" s="106">
        <v>4124152</v>
      </c>
    </row>
    <row r="4833" spans="1:3">
      <c r="A4833" s="102">
        <v>45067</v>
      </c>
      <c r="B4833">
        <v>0</v>
      </c>
      <c r="C4833" s="106">
        <v>4124152</v>
      </c>
    </row>
    <row r="4834" spans="1:3">
      <c r="A4834" s="102">
        <v>45068</v>
      </c>
      <c r="B4834">
        <v>1</v>
      </c>
      <c r="C4834" s="106">
        <v>4129190</v>
      </c>
    </row>
    <row r="4835" spans="1:3">
      <c r="A4835" s="102">
        <v>45069</v>
      </c>
      <c r="B4835">
        <v>1</v>
      </c>
      <c r="C4835" s="106">
        <v>4112149</v>
      </c>
    </row>
    <row r="4836" spans="1:3">
      <c r="A4836" s="102">
        <v>45070</v>
      </c>
      <c r="B4836">
        <v>4</v>
      </c>
      <c r="C4836" s="106">
        <v>4132897</v>
      </c>
    </row>
    <row r="4837" spans="1:3">
      <c r="A4837" s="102">
        <v>45071</v>
      </c>
      <c r="B4837">
        <v>1</v>
      </c>
      <c r="C4837" s="106">
        <v>3932953</v>
      </c>
    </row>
    <row r="4838" spans="1:3">
      <c r="A4838" s="102">
        <v>45072</v>
      </c>
      <c r="B4838">
        <v>103</v>
      </c>
      <c r="C4838" s="106">
        <v>4134596</v>
      </c>
    </row>
    <row r="4839" spans="1:3">
      <c r="A4839" s="102">
        <v>45073</v>
      </c>
      <c r="B4839">
        <v>103</v>
      </c>
      <c r="C4839" s="106">
        <v>4134596</v>
      </c>
    </row>
    <row r="4840" spans="1:3">
      <c r="A4840" s="102">
        <v>45074</v>
      </c>
      <c r="B4840">
        <v>103</v>
      </c>
      <c r="C4840" s="106">
        <v>4134596</v>
      </c>
    </row>
    <row r="4841" spans="1:3">
      <c r="A4841" s="102">
        <v>45075</v>
      </c>
      <c r="B4841">
        <v>119</v>
      </c>
      <c r="C4841" s="106">
        <v>4105960</v>
      </c>
    </row>
    <row r="4842" spans="1:3">
      <c r="A4842" s="102">
        <v>45076</v>
      </c>
      <c r="B4842">
        <v>174</v>
      </c>
      <c r="C4842" s="106">
        <v>4157990</v>
      </c>
    </row>
    <row r="4843" spans="1:3">
      <c r="A4843" s="102">
        <v>45077</v>
      </c>
      <c r="B4843">
        <v>101</v>
      </c>
      <c r="C4843" s="106">
        <v>4122382</v>
      </c>
    </row>
    <row r="4844" spans="1:3">
      <c r="A4844" s="102">
        <v>45078</v>
      </c>
      <c r="B4844">
        <v>31</v>
      </c>
      <c r="C4844" s="106">
        <v>4165484</v>
      </c>
    </row>
    <row r="4845" spans="1:3">
      <c r="A4845" s="102">
        <v>45079</v>
      </c>
      <c r="B4845">
        <v>0</v>
      </c>
      <c r="C4845" s="106">
        <v>4163699</v>
      </c>
    </row>
    <row r="4846" spans="1:3">
      <c r="A4846" s="102">
        <v>45080</v>
      </c>
      <c r="B4846">
        <v>0</v>
      </c>
      <c r="C4846" s="106">
        <v>4163699</v>
      </c>
    </row>
    <row r="4847" spans="1:3">
      <c r="A4847" s="102">
        <v>45081</v>
      </c>
      <c r="B4847">
        <v>0</v>
      </c>
      <c r="C4847" s="106">
        <v>4163699</v>
      </c>
    </row>
    <row r="4848" spans="1:3">
      <c r="A4848" s="102">
        <v>45082</v>
      </c>
      <c r="B4848">
        <v>1200</v>
      </c>
      <c r="C4848" s="106">
        <v>4162348</v>
      </c>
    </row>
    <row r="4849" spans="1:3">
      <c r="A4849" s="102">
        <v>45083</v>
      </c>
      <c r="B4849">
        <v>1489</v>
      </c>
      <c r="C4849" s="106">
        <v>4173312</v>
      </c>
    </row>
    <row r="4850" spans="1:3">
      <c r="A4850" s="102">
        <v>45084</v>
      </c>
      <c r="B4850">
        <v>90</v>
      </c>
      <c r="C4850" s="106">
        <v>4182389</v>
      </c>
    </row>
    <row r="4851" spans="1:3">
      <c r="A4851" s="102">
        <v>45085</v>
      </c>
      <c r="B4851">
        <v>92</v>
      </c>
      <c r="C4851" s="106">
        <v>4148231</v>
      </c>
    </row>
    <row r="4852" spans="1:3">
      <c r="A4852" s="102">
        <v>45086</v>
      </c>
      <c r="B4852">
        <v>102</v>
      </c>
      <c r="C4852" s="106">
        <v>4180728</v>
      </c>
    </row>
    <row r="4853" spans="1:3">
      <c r="A4853" s="102">
        <v>45087</v>
      </c>
      <c r="B4853">
        <v>102</v>
      </c>
      <c r="C4853" s="106">
        <v>4180728</v>
      </c>
    </row>
    <row r="4854" spans="1:3">
      <c r="A4854" s="102">
        <v>45088</v>
      </c>
      <c r="B4854">
        <v>102</v>
      </c>
      <c r="C4854" s="106">
        <v>4180728</v>
      </c>
    </row>
    <row r="4855" spans="1:3">
      <c r="A4855" s="102">
        <v>45089</v>
      </c>
      <c r="B4855">
        <v>145</v>
      </c>
      <c r="C4855" s="106">
        <v>4168538</v>
      </c>
    </row>
    <row r="4856" spans="1:3">
      <c r="A4856" s="102">
        <v>45090</v>
      </c>
      <c r="B4856">
        <v>111</v>
      </c>
      <c r="C4856" s="106">
        <v>4155025</v>
      </c>
    </row>
    <row r="4857" spans="1:3">
      <c r="A4857" s="102">
        <v>45091</v>
      </c>
      <c r="B4857">
        <v>120</v>
      </c>
      <c r="C4857" s="106">
        <v>4140748</v>
      </c>
    </row>
    <row r="4858" spans="1:3">
      <c r="A4858" s="102">
        <v>45092</v>
      </c>
      <c r="B4858">
        <v>111</v>
      </c>
      <c r="C4858" s="106">
        <v>4122817</v>
      </c>
    </row>
    <row r="4859" spans="1:3">
      <c r="A4859" s="102">
        <v>45093</v>
      </c>
      <c r="B4859">
        <v>80</v>
      </c>
      <c r="C4859" s="106">
        <v>4115226</v>
      </c>
    </row>
    <row r="4860" spans="1:3">
      <c r="A4860" s="102">
        <v>45094</v>
      </c>
      <c r="B4860">
        <v>80</v>
      </c>
      <c r="C4860" s="106">
        <v>4115226</v>
      </c>
    </row>
    <row r="4861" spans="1:3">
      <c r="A4861" s="102">
        <v>45095</v>
      </c>
      <c r="B4861">
        <v>80</v>
      </c>
      <c r="C4861" s="106">
        <v>4115226</v>
      </c>
    </row>
    <row r="4862" spans="1:3">
      <c r="A4862" s="102">
        <v>45096</v>
      </c>
      <c r="B4862">
        <v>42</v>
      </c>
      <c r="C4862" s="106">
        <v>4089604</v>
      </c>
    </row>
    <row r="4863" spans="1:3">
      <c r="A4863" s="102">
        <v>45097</v>
      </c>
      <c r="B4863">
        <v>29</v>
      </c>
      <c r="C4863" s="106">
        <v>4071294</v>
      </c>
    </row>
    <row r="4864" spans="1:3">
      <c r="A4864" s="102">
        <v>45098</v>
      </c>
      <c r="B4864">
        <v>40</v>
      </c>
      <c r="C4864" s="106">
        <v>3896409</v>
      </c>
    </row>
    <row r="4865" spans="1:3">
      <c r="A4865" s="102">
        <v>45099</v>
      </c>
      <c r="B4865">
        <v>50</v>
      </c>
      <c r="C4865" s="106">
        <v>4027106</v>
      </c>
    </row>
    <row r="4866" spans="1:3">
      <c r="A4866" s="102">
        <v>45100</v>
      </c>
      <c r="B4866">
        <v>105</v>
      </c>
      <c r="C4866" s="106">
        <v>4104431</v>
      </c>
    </row>
    <row r="4867" spans="1:3">
      <c r="A4867" s="102">
        <v>45101</v>
      </c>
      <c r="B4867">
        <v>105</v>
      </c>
      <c r="C4867" s="106">
        <v>4104431</v>
      </c>
    </row>
    <row r="4868" spans="1:3">
      <c r="A4868" s="102">
        <v>45102</v>
      </c>
      <c r="B4868">
        <v>105</v>
      </c>
      <c r="C4868" s="106">
        <v>4104431</v>
      </c>
    </row>
    <row r="4869" spans="1:3">
      <c r="A4869" s="102">
        <v>45103</v>
      </c>
      <c r="B4869">
        <v>75</v>
      </c>
      <c r="C4869" s="106">
        <v>4122640</v>
      </c>
    </row>
    <row r="4870" spans="1:3">
      <c r="A4870" s="102">
        <v>45104</v>
      </c>
      <c r="B4870">
        <v>137</v>
      </c>
      <c r="C4870" s="106">
        <v>4109001</v>
      </c>
    </row>
    <row r="4871" spans="1:3">
      <c r="A4871" s="102">
        <v>45105</v>
      </c>
      <c r="B4871">
        <v>258</v>
      </c>
      <c r="C4871" s="106">
        <v>3624765</v>
      </c>
    </row>
    <row r="4872" spans="1:3">
      <c r="A4872" s="102">
        <v>45106</v>
      </c>
      <c r="B4872">
        <v>43</v>
      </c>
      <c r="C4872" s="106">
        <v>3628393</v>
      </c>
    </row>
    <row r="4873" spans="1:3">
      <c r="A4873" s="102">
        <v>45107</v>
      </c>
      <c r="B4873">
        <v>150</v>
      </c>
      <c r="C4873" s="106">
        <v>3576768</v>
      </c>
    </row>
    <row r="4874" spans="1:3">
      <c r="A4874" s="102">
        <v>45108</v>
      </c>
      <c r="B4874">
        <v>150</v>
      </c>
      <c r="C4874" s="106">
        <v>3576768</v>
      </c>
    </row>
    <row r="4875" spans="1:3">
      <c r="A4875" s="102">
        <v>45109</v>
      </c>
      <c r="B4875">
        <v>150</v>
      </c>
      <c r="C4875" s="106">
        <v>3576768</v>
      </c>
    </row>
    <row r="4876" spans="1:3">
      <c r="A4876" s="102">
        <v>45110</v>
      </c>
      <c r="B4876">
        <v>220</v>
      </c>
      <c r="C4876" s="106">
        <v>3661233</v>
      </c>
    </row>
    <row r="4877" spans="1:3">
      <c r="A4877" s="102">
        <v>45111</v>
      </c>
      <c r="B4877">
        <v>125</v>
      </c>
      <c r="C4877" s="106">
        <v>3660451</v>
      </c>
    </row>
    <row r="4878" spans="1:3">
      <c r="A4878" s="102">
        <v>45112</v>
      </c>
      <c r="B4878">
        <v>0</v>
      </c>
      <c r="C4878" s="106">
        <v>3659661</v>
      </c>
    </row>
    <row r="4879" spans="1:3">
      <c r="A4879" s="102">
        <v>45113</v>
      </c>
      <c r="B4879">
        <v>0</v>
      </c>
      <c r="C4879" s="106">
        <v>3682567</v>
      </c>
    </row>
    <row r="4880" spans="1:3">
      <c r="A4880" s="102">
        <v>45114</v>
      </c>
      <c r="B4880">
        <v>2</v>
      </c>
      <c r="C4880" s="106">
        <v>3669786</v>
      </c>
    </row>
    <row r="4881" spans="1:3">
      <c r="A4881" s="102">
        <v>45115</v>
      </c>
      <c r="B4881">
        <v>2</v>
      </c>
      <c r="C4881" s="106">
        <v>3669786</v>
      </c>
    </row>
    <row r="4882" spans="1:3">
      <c r="A4882" s="102">
        <v>45116</v>
      </c>
      <c r="B4882">
        <v>2</v>
      </c>
      <c r="C4882" s="106">
        <v>3669786</v>
      </c>
    </row>
    <row r="4883" spans="1:3">
      <c r="A4883" s="102">
        <v>45117</v>
      </c>
      <c r="B4883">
        <v>0</v>
      </c>
      <c r="C4883" s="106">
        <v>3669416</v>
      </c>
    </row>
    <row r="4884" spans="1:3">
      <c r="A4884" s="102">
        <v>45118</v>
      </c>
      <c r="B4884">
        <v>35</v>
      </c>
      <c r="C4884" s="106">
        <v>3673255</v>
      </c>
    </row>
    <row r="4885" spans="1:3">
      <c r="A4885" s="102">
        <v>45119</v>
      </c>
      <c r="B4885">
        <v>36</v>
      </c>
      <c r="C4885" s="106">
        <v>3672163</v>
      </c>
    </row>
    <row r="4886" spans="1:3">
      <c r="A4886" s="102">
        <v>45120</v>
      </c>
      <c r="B4886">
        <v>65</v>
      </c>
      <c r="C4886" s="106">
        <v>3674679</v>
      </c>
    </row>
    <row r="4887" spans="1:3">
      <c r="A4887" s="102">
        <v>45121</v>
      </c>
      <c r="B4887">
        <v>51</v>
      </c>
      <c r="C4887" s="106">
        <v>3671363</v>
      </c>
    </row>
    <row r="4888" spans="1:3">
      <c r="A4888" s="102">
        <v>45122</v>
      </c>
      <c r="B4888">
        <v>51</v>
      </c>
      <c r="C4888" s="106">
        <v>3671363</v>
      </c>
    </row>
    <row r="4889" spans="1:3">
      <c r="A4889" s="102">
        <v>45123</v>
      </c>
      <c r="B4889">
        <v>51</v>
      </c>
      <c r="C4889" s="106">
        <v>3671363</v>
      </c>
    </row>
    <row r="4890" spans="1:3">
      <c r="A4890" s="102">
        <v>45124</v>
      </c>
      <c r="B4890">
        <v>12</v>
      </c>
      <c r="C4890" s="106">
        <v>3650686</v>
      </c>
    </row>
    <row r="4891" spans="1:3">
      <c r="A4891" s="102">
        <v>45125</v>
      </c>
      <c r="B4891">
        <v>2044</v>
      </c>
      <c r="C4891" s="106">
        <v>3642594</v>
      </c>
    </row>
    <row r="4892" spans="1:3">
      <c r="A4892" s="102">
        <v>45126</v>
      </c>
      <c r="B4892">
        <v>45</v>
      </c>
      <c r="C4892" s="106">
        <v>3628519</v>
      </c>
    </row>
    <row r="4893" spans="1:3">
      <c r="A4893" s="102">
        <v>45127</v>
      </c>
      <c r="B4893">
        <v>50</v>
      </c>
      <c r="C4893" s="106">
        <v>3626548</v>
      </c>
    </row>
    <row r="4894" spans="1:3">
      <c r="A4894" s="102">
        <v>45128</v>
      </c>
      <c r="B4894">
        <v>55</v>
      </c>
      <c r="C4894" s="106">
        <v>3633959</v>
      </c>
    </row>
    <row r="4895" spans="1:3">
      <c r="A4895" s="102">
        <v>45129</v>
      </c>
      <c r="B4895">
        <v>55</v>
      </c>
      <c r="C4895" s="106">
        <v>3633959</v>
      </c>
    </row>
    <row r="4896" spans="1:3">
      <c r="A4896" s="102">
        <v>45130</v>
      </c>
      <c r="B4896">
        <v>55</v>
      </c>
      <c r="C4896" s="106">
        <v>3633959</v>
      </c>
    </row>
    <row r="4897" spans="1:3">
      <c r="A4897" s="102">
        <v>45131</v>
      </c>
      <c r="B4897">
        <v>30</v>
      </c>
      <c r="C4897" s="106">
        <v>3614491</v>
      </c>
    </row>
    <row r="4898" spans="1:3">
      <c r="A4898" s="102">
        <v>45132</v>
      </c>
      <c r="B4898">
        <v>45</v>
      </c>
      <c r="C4898" s="106">
        <v>3604257</v>
      </c>
    </row>
    <row r="4899" spans="1:3">
      <c r="A4899" s="102">
        <v>45133</v>
      </c>
      <c r="B4899">
        <v>45</v>
      </c>
      <c r="C4899" s="106">
        <v>3594089</v>
      </c>
    </row>
    <row r="4900" spans="1:3">
      <c r="A4900" s="102">
        <v>45134</v>
      </c>
      <c r="B4900">
        <v>64</v>
      </c>
      <c r="C4900" s="106">
        <v>3596461</v>
      </c>
    </row>
    <row r="4901" spans="1:3">
      <c r="A4901" s="102">
        <v>45135</v>
      </c>
      <c r="B4901">
        <v>244</v>
      </c>
      <c r="C4901" s="106">
        <v>3585068</v>
      </c>
    </row>
    <row r="4902" spans="1:3">
      <c r="A4902" s="102">
        <v>45136</v>
      </c>
      <c r="B4902">
        <v>244</v>
      </c>
      <c r="C4902" s="106">
        <v>3585068</v>
      </c>
    </row>
    <row r="4903" spans="1:3">
      <c r="A4903" s="102">
        <v>45137</v>
      </c>
      <c r="B4903">
        <v>244</v>
      </c>
      <c r="C4903" s="106">
        <v>3585068</v>
      </c>
    </row>
    <row r="4904" spans="1:3">
      <c r="A4904" s="102">
        <v>45138</v>
      </c>
      <c r="B4904">
        <v>170</v>
      </c>
      <c r="C4904" s="106">
        <v>3527073</v>
      </c>
    </row>
    <row r="4905" spans="1:3">
      <c r="A4905" s="102">
        <v>45139</v>
      </c>
      <c r="B4905">
        <v>37</v>
      </c>
      <c r="C4905" s="106">
        <v>3615944</v>
      </c>
    </row>
    <row r="4906" spans="1:3">
      <c r="A4906" s="102">
        <v>45140</v>
      </c>
      <c r="B4906">
        <v>25</v>
      </c>
      <c r="C4906" s="106">
        <v>3477581</v>
      </c>
    </row>
    <row r="4907" spans="1:3">
      <c r="A4907" s="102">
        <v>45141</v>
      </c>
      <c r="B4907">
        <v>20</v>
      </c>
      <c r="C4907" s="106">
        <v>3568569</v>
      </c>
    </row>
    <row r="4908" spans="1:3">
      <c r="A4908" s="102">
        <v>45142</v>
      </c>
      <c r="B4908">
        <v>15</v>
      </c>
      <c r="C4908" s="106">
        <v>3650302</v>
      </c>
    </row>
    <row r="4909" spans="1:3">
      <c r="A4909" s="102">
        <v>45143</v>
      </c>
      <c r="B4909">
        <v>15</v>
      </c>
      <c r="C4909" s="106">
        <v>3650302</v>
      </c>
    </row>
    <row r="4910" spans="1:3">
      <c r="A4910" s="102">
        <v>45144</v>
      </c>
      <c r="B4910">
        <v>15</v>
      </c>
      <c r="C4910" s="106">
        <v>3650302</v>
      </c>
    </row>
    <row r="4911" spans="1:3">
      <c r="A4911" s="102">
        <v>45145</v>
      </c>
      <c r="B4911">
        <v>10</v>
      </c>
      <c r="C4911" s="106">
        <v>3662885</v>
      </c>
    </row>
    <row r="4912" spans="1:3">
      <c r="A4912" s="102">
        <v>45146</v>
      </c>
      <c r="B4912">
        <v>10</v>
      </c>
      <c r="C4912" s="106">
        <v>3661181</v>
      </c>
    </row>
    <row r="4913" spans="1:3">
      <c r="A4913" s="102">
        <v>45147</v>
      </c>
      <c r="B4913">
        <v>2</v>
      </c>
      <c r="C4913" s="106">
        <v>3669617</v>
      </c>
    </row>
    <row r="4914" spans="1:3">
      <c r="A4914" s="102">
        <v>45148</v>
      </c>
      <c r="B4914">
        <v>12</v>
      </c>
      <c r="C4914" s="106">
        <v>3661336</v>
      </c>
    </row>
    <row r="4915" spans="1:3">
      <c r="A4915" s="102">
        <v>45149</v>
      </c>
      <c r="B4915">
        <v>10</v>
      </c>
      <c r="C4915" s="106">
        <v>3644591</v>
      </c>
    </row>
    <row r="4916" spans="1:3">
      <c r="A4916" s="102">
        <v>45150</v>
      </c>
      <c r="B4916">
        <v>10</v>
      </c>
      <c r="C4916" s="106">
        <v>3644591</v>
      </c>
    </row>
    <row r="4917" spans="1:3">
      <c r="A4917" s="102">
        <v>45151</v>
      </c>
      <c r="B4917">
        <v>10</v>
      </c>
      <c r="C4917" s="106">
        <v>3644591</v>
      </c>
    </row>
    <row r="4918" spans="1:3">
      <c r="A4918" s="102">
        <v>45152</v>
      </c>
      <c r="B4918">
        <v>5</v>
      </c>
      <c r="C4918" s="106">
        <v>3670103</v>
      </c>
    </row>
    <row r="4919" spans="1:3">
      <c r="A4919" s="102">
        <v>45153</v>
      </c>
      <c r="B4919">
        <v>2</v>
      </c>
      <c r="C4919" s="106">
        <v>3646035</v>
      </c>
    </row>
    <row r="4920" spans="1:3">
      <c r="A4920" s="102">
        <v>45154</v>
      </c>
      <c r="B4920">
        <v>230</v>
      </c>
      <c r="C4920" s="106">
        <v>3670775</v>
      </c>
    </row>
    <row r="4921" spans="1:3">
      <c r="A4921" s="102">
        <v>45155</v>
      </c>
      <c r="B4921">
        <v>242</v>
      </c>
      <c r="C4921" s="106">
        <v>3671891</v>
      </c>
    </row>
    <row r="4922" spans="1:3">
      <c r="A4922" s="102">
        <v>45156</v>
      </c>
      <c r="B4922">
        <v>347</v>
      </c>
      <c r="C4922" s="106">
        <v>3663047</v>
      </c>
    </row>
    <row r="4923" spans="1:3">
      <c r="A4923" s="102">
        <v>45157</v>
      </c>
      <c r="B4923">
        <v>347</v>
      </c>
      <c r="C4923" s="106">
        <v>3663047</v>
      </c>
    </row>
    <row r="4924" spans="1:3">
      <c r="A4924" s="102">
        <v>45158</v>
      </c>
      <c r="B4924">
        <v>347</v>
      </c>
      <c r="C4924" s="106">
        <v>3663047</v>
      </c>
    </row>
    <row r="4925" spans="1:3">
      <c r="A4925" s="102">
        <v>45159</v>
      </c>
      <c r="B4925">
        <v>343</v>
      </c>
      <c r="C4925" s="106">
        <v>3668041</v>
      </c>
    </row>
    <row r="4926" spans="1:3">
      <c r="A4926" s="102">
        <v>45160</v>
      </c>
      <c r="B4926">
        <v>340</v>
      </c>
      <c r="C4926" s="106">
        <v>3673396</v>
      </c>
    </row>
    <row r="4927" spans="1:3">
      <c r="A4927" s="102">
        <v>45161</v>
      </c>
      <c r="B4927">
        <v>41</v>
      </c>
      <c r="C4927" s="106">
        <v>3626035</v>
      </c>
    </row>
    <row r="4928" spans="1:3">
      <c r="A4928" s="102">
        <v>45162</v>
      </c>
      <c r="B4928">
        <v>10</v>
      </c>
      <c r="C4928" s="106">
        <v>3659360</v>
      </c>
    </row>
    <row r="4929" spans="1:3">
      <c r="A4929" s="102">
        <v>45163</v>
      </c>
      <c r="B4929">
        <v>25</v>
      </c>
      <c r="C4929" s="106">
        <v>3667104</v>
      </c>
    </row>
    <row r="4930" spans="1:3">
      <c r="A4930" s="102">
        <v>45164</v>
      </c>
      <c r="B4930">
        <v>25</v>
      </c>
      <c r="C4930" s="106">
        <v>3667104</v>
      </c>
    </row>
    <row r="4931" spans="1:3">
      <c r="A4931" s="102">
        <v>45165</v>
      </c>
      <c r="B4931">
        <v>25</v>
      </c>
      <c r="C4931" s="106">
        <v>3667104</v>
      </c>
    </row>
    <row r="4932" spans="1:3">
      <c r="A4932" s="102">
        <v>45166</v>
      </c>
      <c r="B4932">
        <v>1</v>
      </c>
      <c r="C4932" s="106">
        <v>3660772</v>
      </c>
    </row>
    <row r="4933" spans="1:3">
      <c r="A4933" s="102">
        <v>45167</v>
      </c>
      <c r="B4933">
        <v>25</v>
      </c>
      <c r="C4933" s="106">
        <v>3653382</v>
      </c>
    </row>
    <row r="4934" spans="1:3">
      <c r="A4934" s="102">
        <v>45168</v>
      </c>
      <c r="B4934">
        <v>65</v>
      </c>
      <c r="C4934" s="106">
        <v>3661476</v>
      </c>
    </row>
    <row r="4935" spans="1:3">
      <c r="A4935" s="102">
        <v>45169</v>
      </c>
      <c r="B4935">
        <v>153</v>
      </c>
      <c r="C4935" s="106">
        <v>3636954</v>
      </c>
    </row>
    <row r="4936" spans="1:3">
      <c r="A4936" s="102">
        <v>45170</v>
      </c>
      <c r="B4936">
        <v>55</v>
      </c>
      <c r="C4936" s="106">
        <v>3657484</v>
      </c>
    </row>
    <row r="4937" spans="1:3">
      <c r="A4937" s="102">
        <v>45171</v>
      </c>
      <c r="B4937">
        <v>55</v>
      </c>
      <c r="C4937" s="106">
        <v>3657484</v>
      </c>
    </row>
    <row r="4938" spans="1:3">
      <c r="A4938" s="102">
        <v>45172</v>
      </c>
      <c r="B4938">
        <v>55</v>
      </c>
      <c r="C4938" s="106">
        <v>3657484</v>
      </c>
    </row>
    <row r="4939" spans="1:3">
      <c r="A4939" s="102">
        <v>45173</v>
      </c>
      <c r="B4939">
        <v>24</v>
      </c>
      <c r="C4939" s="106">
        <v>3651116</v>
      </c>
    </row>
    <row r="4940" spans="1:3">
      <c r="A4940" s="102">
        <v>45174</v>
      </c>
      <c r="B4940">
        <v>13</v>
      </c>
      <c r="C4940" s="106">
        <v>3651574</v>
      </c>
    </row>
    <row r="4941" spans="1:3">
      <c r="A4941" s="102">
        <v>45175</v>
      </c>
      <c r="B4941">
        <v>25</v>
      </c>
      <c r="C4941" s="106">
        <v>3663408</v>
      </c>
    </row>
    <row r="4942" spans="1:3">
      <c r="A4942" s="102">
        <v>45176</v>
      </c>
      <c r="B4942">
        <v>25</v>
      </c>
      <c r="C4942" s="106">
        <v>3670503</v>
      </c>
    </row>
    <row r="4943" spans="1:3">
      <c r="A4943" s="102">
        <v>45177</v>
      </c>
      <c r="B4943">
        <v>25</v>
      </c>
      <c r="C4943" s="106">
        <v>3682380</v>
      </c>
    </row>
    <row r="4944" spans="1:3">
      <c r="A4944" s="102">
        <v>45178</v>
      </c>
      <c r="B4944">
        <v>25</v>
      </c>
      <c r="C4944" s="106">
        <v>3682380</v>
      </c>
    </row>
    <row r="4945" spans="1:3">
      <c r="A4945" s="102">
        <v>45179</v>
      </c>
      <c r="B4945">
        <v>25</v>
      </c>
      <c r="C4945" s="106">
        <v>3682380</v>
      </c>
    </row>
    <row r="4946" spans="1:3">
      <c r="A4946" s="102">
        <v>45180</v>
      </c>
      <c r="B4946">
        <v>15</v>
      </c>
      <c r="C4946" s="106">
        <v>3667673</v>
      </c>
    </row>
    <row r="4947" spans="1:3">
      <c r="A4947" s="102">
        <v>45181</v>
      </c>
      <c r="B4947">
        <v>1005</v>
      </c>
      <c r="C4947" s="106">
        <v>3668294</v>
      </c>
    </row>
    <row r="4948" spans="1:3">
      <c r="A4948" s="102">
        <v>45182</v>
      </c>
      <c r="B4948">
        <v>70</v>
      </c>
      <c r="C4948" s="106">
        <v>3677256</v>
      </c>
    </row>
    <row r="4949" spans="1:3">
      <c r="A4949" s="102">
        <v>45183</v>
      </c>
      <c r="B4949">
        <v>376</v>
      </c>
      <c r="C4949" s="106">
        <v>3639149</v>
      </c>
    </row>
    <row r="4950" spans="1:3">
      <c r="A4950" s="102">
        <v>45184</v>
      </c>
      <c r="B4950">
        <v>44</v>
      </c>
      <c r="C4950" s="106">
        <v>3589893</v>
      </c>
    </row>
    <row r="4951" spans="1:3">
      <c r="A4951" s="102">
        <v>45185</v>
      </c>
      <c r="B4951">
        <v>44</v>
      </c>
      <c r="C4951" s="106">
        <v>3589893</v>
      </c>
    </row>
    <row r="4952" spans="1:3">
      <c r="A4952" s="102">
        <v>45186</v>
      </c>
      <c r="B4952">
        <v>44</v>
      </c>
      <c r="C4952" s="106">
        <v>3589893</v>
      </c>
    </row>
    <row r="4953" spans="1:3">
      <c r="A4953" s="102">
        <v>45187</v>
      </c>
      <c r="B4953">
        <v>10</v>
      </c>
      <c r="C4953" s="106">
        <v>3554782</v>
      </c>
    </row>
    <row r="4954" spans="1:3">
      <c r="A4954" s="102">
        <v>45188</v>
      </c>
      <c r="B4954">
        <v>0</v>
      </c>
      <c r="C4954" s="106">
        <v>3616681</v>
      </c>
    </row>
    <row r="4955" spans="1:3">
      <c r="A4955" s="102">
        <v>45189</v>
      </c>
      <c r="B4955">
        <v>20</v>
      </c>
      <c r="C4955" s="106">
        <v>3504449</v>
      </c>
    </row>
    <row r="4956" spans="1:3">
      <c r="A4956" s="102">
        <v>45190</v>
      </c>
      <c r="B4956">
        <v>20</v>
      </c>
      <c r="C4956" s="106">
        <v>3601853</v>
      </c>
    </row>
    <row r="4957" spans="1:3">
      <c r="A4957" s="102">
        <v>45191</v>
      </c>
      <c r="B4957">
        <v>40</v>
      </c>
      <c r="C4957" s="106">
        <v>3660788</v>
      </c>
    </row>
    <row r="4958" spans="1:3">
      <c r="A4958" s="102">
        <v>45192</v>
      </c>
      <c r="B4958">
        <v>40</v>
      </c>
      <c r="C4958" s="106">
        <v>3660788</v>
      </c>
    </row>
    <row r="4959" spans="1:3">
      <c r="A4959" s="102">
        <v>45193</v>
      </c>
      <c r="B4959">
        <v>40</v>
      </c>
      <c r="C4959" s="106">
        <v>3660788</v>
      </c>
    </row>
    <row r="4960" spans="1:3">
      <c r="A4960" s="102">
        <v>45194</v>
      </c>
      <c r="B4960">
        <v>50</v>
      </c>
      <c r="C4960" s="106">
        <v>3666956</v>
      </c>
    </row>
    <row r="4961" spans="1:3">
      <c r="A4961" s="102">
        <v>45195</v>
      </c>
      <c r="B4961">
        <v>70</v>
      </c>
      <c r="C4961" s="106">
        <v>3663964</v>
      </c>
    </row>
    <row r="4962" spans="1:3">
      <c r="A4962" s="102">
        <v>45196</v>
      </c>
      <c r="B4962">
        <v>139</v>
      </c>
      <c r="C4962" s="106">
        <v>3523562</v>
      </c>
    </row>
    <row r="4963" spans="1:3">
      <c r="A4963" s="102">
        <v>45197</v>
      </c>
      <c r="B4963">
        <v>0</v>
      </c>
      <c r="C4963" s="106">
        <v>3555594</v>
      </c>
    </row>
    <row r="4964" spans="1:3">
      <c r="A4964" s="102">
        <v>45198</v>
      </c>
      <c r="B4964">
        <v>0</v>
      </c>
      <c r="C4964" s="106">
        <v>3466971</v>
      </c>
    </row>
    <row r="4965" spans="1:3">
      <c r="A4965" s="102">
        <v>45199</v>
      </c>
      <c r="B4965">
        <v>0</v>
      </c>
      <c r="C4965" s="106">
        <v>3466971</v>
      </c>
    </row>
    <row r="4966" spans="1:3">
      <c r="A4966" s="102">
        <v>45200</v>
      </c>
      <c r="B4966">
        <v>0</v>
      </c>
      <c r="C4966" s="106">
        <v>3466971</v>
      </c>
    </row>
    <row r="4967" spans="1:3">
      <c r="A4967" s="102">
        <v>45201</v>
      </c>
      <c r="B4967">
        <v>0</v>
      </c>
      <c r="C4967" s="106">
        <v>3566383</v>
      </c>
    </row>
    <row r="4968" spans="1:3">
      <c r="A4968" s="102">
        <v>45202</v>
      </c>
      <c r="B4968">
        <v>0</v>
      </c>
      <c r="C4968" s="106">
        <v>3540939</v>
      </c>
    </row>
    <row r="4969" spans="1:3">
      <c r="A4969" s="102">
        <v>45203</v>
      </c>
      <c r="B4969">
        <v>1</v>
      </c>
      <c r="C4969" s="106">
        <v>3586392</v>
      </c>
    </row>
    <row r="4970" spans="1:3">
      <c r="A4970" s="102">
        <v>45204</v>
      </c>
      <c r="B4970">
        <v>0</v>
      </c>
      <c r="C4970" s="106">
        <v>3593916</v>
      </c>
    </row>
    <row r="4971" spans="1:3">
      <c r="A4971" s="102">
        <v>45205</v>
      </c>
      <c r="B4971">
        <v>5</v>
      </c>
      <c r="C4971" s="106">
        <v>3601080</v>
      </c>
    </row>
    <row r="4972" spans="1:3">
      <c r="A4972" s="102">
        <v>45206</v>
      </c>
      <c r="B4972">
        <v>5</v>
      </c>
      <c r="C4972" s="106">
        <v>3601080</v>
      </c>
    </row>
    <row r="4973" spans="1:3">
      <c r="A4973" s="102">
        <v>45207</v>
      </c>
      <c r="B4973">
        <v>5</v>
      </c>
      <c r="C4973" s="106">
        <v>3601080</v>
      </c>
    </row>
    <row r="4974" spans="1:3">
      <c r="A4974" s="102">
        <v>45208</v>
      </c>
      <c r="B4974">
        <v>0</v>
      </c>
      <c r="C4974" s="106">
        <v>3611134</v>
      </c>
    </row>
    <row r="4975" spans="1:3">
      <c r="A4975" s="102">
        <v>45209</v>
      </c>
      <c r="B4975">
        <v>42</v>
      </c>
      <c r="C4975" s="106">
        <v>3601074</v>
      </c>
    </row>
    <row r="4976" spans="1:3">
      <c r="A4976" s="102">
        <v>45210</v>
      </c>
      <c r="B4976">
        <v>0</v>
      </c>
      <c r="C4976" s="106">
        <v>3594512</v>
      </c>
    </row>
    <row r="4977" spans="1:3">
      <c r="A4977" s="102">
        <v>45211</v>
      </c>
      <c r="B4977">
        <v>0</v>
      </c>
      <c r="C4977" s="106">
        <v>3614358</v>
      </c>
    </row>
    <row r="4978" spans="1:3">
      <c r="A4978" s="102">
        <v>45212</v>
      </c>
      <c r="B4978">
        <v>30</v>
      </c>
      <c r="C4978" s="106">
        <v>3602332</v>
      </c>
    </row>
    <row r="4979" spans="1:3">
      <c r="A4979" s="102">
        <v>45213</v>
      </c>
      <c r="B4979">
        <v>30</v>
      </c>
      <c r="C4979" s="106">
        <v>3602332</v>
      </c>
    </row>
    <row r="4980" spans="1:3">
      <c r="A4980" s="102">
        <v>45214</v>
      </c>
      <c r="B4980">
        <v>30</v>
      </c>
      <c r="C4980" s="106">
        <v>3602332</v>
      </c>
    </row>
    <row r="4981" spans="1:3">
      <c r="A4981" s="102">
        <v>45215</v>
      </c>
      <c r="B4981">
        <v>30</v>
      </c>
      <c r="C4981" s="106">
        <v>3611718</v>
      </c>
    </row>
    <row r="4982" spans="1:3">
      <c r="A4982" s="102">
        <v>45216</v>
      </c>
      <c r="B4982">
        <v>31</v>
      </c>
      <c r="C4982" s="106">
        <v>3609106</v>
      </c>
    </row>
    <row r="4983" spans="1:3">
      <c r="A4983" s="102">
        <v>45217</v>
      </c>
      <c r="B4983">
        <v>80</v>
      </c>
      <c r="C4983" s="106">
        <v>3605219</v>
      </c>
    </row>
    <row r="4984" spans="1:3">
      <c r="A4984" s="102">
        <v>45218</v>
      </c>
      <c r="B4984">
        <v>90</v>
      </c>
      <c r="C4984" s="106">
        <v>3589084</v>
      </c>
    </row>
    <row r="4985" spans="1:3">
      <c r="A4985" s="102">
        <v>45219</v>
      </c>
      <c r="B4985">
        <v>49</v>
      </c>
      <c r="C4985" s="106">
        <v>3587341</v>
      </c>
    </row>
    <row r="4986" spans="1:3">
      <c r="A4986" s="102">
        <v>45220</v>
      </c>
      <c r="B4986">
        <v>49</v>
      </c>
      <c r="C4986" s="106">
        <v>3587341</v>
      </c>
    </row>
    <row r="4987" spans="1:3">
      <c r="A4987" s="102">
        <v>45221</v>
      </c>
      <c r="B4987">
        <v>49</v>
      </c>
      <c r="C4987" s="106">
        <v>3587341</v>
      </c>
    </row>
    <row r="4988" spans="1:3">
      <c r="A4988" s="102">
        <v>45222</v>
      </c>
      <c r="B4988">
        <v>127</v>
      </c>
      <c r="C4988" s="106">
        <v>3579127</v>
      </c>
    </row>
    <row r="4989" spans="1:3">
      <c r="A4989" s="102">
        <v>45223</v>
      </c>
      <c r="B4989">
        <v>61</v>
      </c>
      <c r="C4989" s="106">
        <v>3582206</v>
      </c>
    </row>
    <row r="4990" spans="1:3">
      <c r="A4990" s="102">
        <v>45224</v>
      </c>
      <c r="B4990">
        <v>40</v>
      </c>
      <c r="C4990" s="106">
        <v>3545974</v>
      </c>
    </row>
    <row r="4991" spans="1:3">
      <c r="A4991" s="102">
        <v>45225</v>
      </c>
      <c r="B4991">
        <v>70</v>
      </c>
      <c r="C4991" s="106">
        <v>3554351</v>
      </c>
    </row>
    <row r="4992" spans="1:3">
      <c r="A4992" s="102">
        <v>45226</v>
      </c>
      <c r="B4992">
        <v>307</v>
      </c>
      <c r="C4992" s="106">
        <v>3533275</v>
      </c>
    </row>
    <row r="4993" spans="1:3">
      <c r="A4993" s="102">
        <v>45227</v>
      </c>
      <c r="B4993">
        <v>307</v>
      </c>
      <c r="C4993" s="106">
        <v>3533275</v>
      </c>
    </row>
    <row r="4994" spans="1:3">
      <c r="A4994" s="102">
        <v>45228</v>
      </c>
      <c r="B4994">
        <v>307</v>
      </c>
      <c r="C4994" s="106">
        <v>3533275</v>
      </c>
    </row>
    <row r="4995" spans="1:3">
      <c r="A4995" s="102">
        <v>45229</v>
      </c>
      <c r="B4995">
        <v>85</v>
      </c>
      <c r="C4995" s="106">
        <v>3490157</v>
      </c>
    </row>
    <row r="4996" spans="1:3">
      <c r="A4996" s="102">
        <v>45230</v>
      </c>
      <c r="B4996">
        <v>50</v>
      </c>
      <c r="C4996" s="106">
        <v>3496610</v>
      </c>
    </row>
    <row r="4997" spans="1:3">
      <c r="A4997" s="102">
        <v>45231</v>
      </c>
      <c r="B4997">
        <v>0</v>
      </c>
      <c r="C4997" s="106">
        <v>3408271</v>
      </c>
    </row>
    <row r="4998" spans="1:3">
      <c r="A4998" s="102">
        <v>45232</v>
      </c>
      <c r="B4998">
        <v>1</v>
      </c>
      <c r="C4998" s="106">
        <v>3473068</v>
      </c>
    </row>
    <row r="4999" spans="1:3">
      <c r="A4999" s="102">
        <v>45233</v>
      </c>
      <c r="B4999">
        <v>0</v>
      </c>
      <c r="C4999" s="106">
        <v>3549252</v>
      </c>
    </row>
    <row r="5000" spans="1:3">
      <c r="A5000" s="102">
        <v>45234</v>
      </c>
      <c r="B5000">
        <v>0</v>
      </c>
      <c r="C5000" s="106">
        <v>3549252</v>
      </c>
    </row>
    <row r="5001" spans="1:3">
      <c r="A5001" s="102">
        <v>45235</v>
      </c>
      <c r="B5001">
        <v>0</v>
      </c>
      <c r="C5001" s="106">
        <v>3549252</v>
      </c>
    </row>
    <row r="5002" spans="1:3">
      <c r="A5002" s="102">
        <v>45236</v>
      </c>
      <c r="B5002">
        <v>1</v>
      </c>
      <c r="C5002" s="106">
        <v>3546505</v>
      </c>
    </row>
    <row r="5003" spans="1:3">
      <c r="A5003" s="102">
        <v>45237</v>
      </c>
      <c r="B5003">
        <v>0</v>
      </c>
      <c r="C5003" s="106">
        <v>3508491</v>
      </c>
    </row>
    <row r="5004" spans="1:3">
      <c r="A5004" s="102">
        <v>45238</v>
      </c>
      <c r="B5004">
        <v>48</v>
      </c>
      <c r="C5004" s="106">
        <v>3522967</v>
      </c>
    </row>
    <row r="5005" spans="1:3">
      <c r="A5005" s="102">
        <v>45239</v>
      </c>
      <c r="B5005">
        <v>0</v>
      </c>
      <c r="C5005" s="106">
        <v>3552685</v>
      </c>
    </row>
    <row r="5006" spans="1:3">
      <c r="A5006" s="102">
        <v>45240</v>
      </c>
      <c r="B5006">
        <v>0</v>
      </c>
      <c r="C5006" s="106">
        <v>3560877</v>
      </c>
    </row>
    <row r="5007" spans="1:3">
      <c r="A5007" s="102">
        <v>45241</v>
      </c>
      <c r="B5007">
        <v>0</v>
      </c>
      <c r="C5007" s="106">
        <v>3560877</v>
      </c>
    </row>
    <row r="5008" spans="1:3">
      <c r="A5008" s="102">
        <v>45242</v>
      </c>
      <c r="B5008">
        <v>0</v>
      </c>
      <c r="C5008" s="106">
        <v>3560877</v>
      </c>
    </row>
    <row r="5009" spans="1:3">
      <c r="A5009" s="102">
        <v>45243</v>
      </c>
      <c r="B5009">
        <v>1</v>
      </c>
      <c r="C5009" s="106">
        <v>3570163</v>
      </c>
    </row>
    <row r="5010" spans="1:3">
      <c r="A5010" s="102">
        <v>45244</v>
      </c>
      <c r="B5010">
        <v>0</v>
      </c>
      <c r="C5010" s="106">
        <v>3573553</v>
      </c>
    </row>
    <row r="5011" spans="1:3">
      <c r="A5011" s="102">
        <v>45245</v>
      </c>
      <c r="B5011">
        <v>5</v>
      </c>
      <c r="C5011" s="106">
        <v>3564630</v>
      </c>
    </row>
    <row r="5012" spans="1:3">
      <c r="A5012" s="102">
        <v>45246</v>
      </c>
      <c r="B5012">
        <v>11</v>
      </c>
      <c r="C5012" s="106">
        <v>3573721</v>
      </c>
    </row>
    <row r="5013" spans="1:3">
      <c r="A5013" s="102">
        <v>45247</v>
      </c>
      <c r="B5013">
        <v>37</v>
      </c>
      <c r="C5013" s="106">
        <v>3564055</v>
      </c>
    </row>
    <row r="5014" spans="1:3">
      <c r="A5014" s="102">
        <v>45248</v>
      </c>
      <c r="B5014">
        <v>37</v>
      </c>
      <c r="C5014" s="106">
        <v>3564055</v>
      </c>
    </row>
    <row r="5015" spans="1:3">
      <c r="A5015" s="102">
        <v>45249</v>
      </c>
      <c r="B5015">
        <v>37</v>
      </c>
      <c r="C5015" s="106">
        <v>3564055</v>
      </c>
    </row>
    <row r="5016" spans="1:3">
      <c r="A5016" s="102">
        <v>45250</v>
      </c>
      <c r="B5016">
        <v>30</v>
      </c>
      <c r="C5016" s="106">
        <v>3559427</v>
      </c>
    </row>
    <row r="5017" spans="1:3">
      <c r="A5017" s="102">
        <v>45251</v>
      </c>
      <c r="B5017">
        <v>37</v>
      </c>
      <c r="C5017" s="106">
        <v>3544902</v>
      </c>
    </row>
    <row r="5018" spans="1:3">
      <c r="A5018" s="102">
        <v>45252</v>
      </c>
      <c r="B5018">
        <v>0</v>
      </c>
      <c r="C5018" s="106">
        <v>3542221</v>
      </c>
    </row>
    <row r="5019" spans="1:3">
      <c r="A5019" s="102">
        <v>45253</v>
      </c>
      <c r="B5019">
        <v>0</v>
      </c>
      <c r="C5019" s="106">
        <v>3544308</v>
      </c>
    </row>
    <row r="5020" spans="1:3">
      <c r="A5020" s="102">
        <v>45254</v>
      </c>
      <c r="B5020">
        <v>6</v>
      </c>
      <c r="C5020" s="106">
        <v>3549323</v>
      </c>
    </row>
    <row r="5021" spans="1:3">
      <c r="A5021" s="102">
        <v>45255</v>
      </c>
      <c r="B5021">
        <v>6</v>
      </c>
      <c r="C5021" s="106">
        <v>3549323</v>
      </c>
    </row>
    <row r="5022" spans="1:3">
      <c r="A5022" s="102">
        <v>45256</v>
      </c>
      <c r="B5022">
        <v>6</v>
      </c>
      <c r="C5022" s="106">
        <v>3549323</v>
      </c>
    </row>
    <row r="5023" spans="1:3">
      <c r="A5023" s="102">
        <v>45257</v>
      </c>
      <c r="B5023">
        <v>21</v>
      </c>
      <c r="C5023" s="106">
        <v>3544450</v>
      </c>
    </row>
    <row r="5024" spans="1:3">
      <c r="A5024" s="102">
        <v>45258</v>
      </c>
      <c r="B5024">
        <v>55</v>
      </c>
      <c r="C5024" s="106">
        <v>3528938</v>
      </c>
    </row>
    <row r="5025" spans="1:3">
      <c r="A5025" s="102">
        <v>45259</v>
      </c>
      <c r="B5025">
        <v>30</v>
      </c>
      <c r="C5025" s="106">
        <v>3545805</v>
      </c>
    </row>
    <row r="5026" spans="1:3">
      <c r="A5026" s="102">
        <v>45260</v>
      </c>
      <c r="B5026">
        <v>34</v>
      </c>
      <c r="C5026" s="106">
        <v>3521735</v>
      </c>
    </row>
    <row r="5027" spans="1:3">
      <c r="A5027" s="102">
        <v>45261</v>
      </c>
      <c r="B5027">
        <v>0</v>
      </c>
      <c r="C5027" s="106">
        <v>3559175</v>
      </c>
    </row>
    <row r="5028" spans="1:3">
      <c r="A5028" s="102">
        <v>45262</v>
      </c>
      <c r="B5028">
        <v>0</v>
      </c>
      <c r="C5028" s="106">
        <v>3559175</v>
      </c>
    </row>
    <row r="5029" spans="1:3">
      <c r="A5029" s="102">
        <v>45263</v>
      </c>
      <c r="B5029">
        <v>0</v>
      </c>
      <c r="C5029" s="106">
        <v>3559175</v>
      </c>
    </row>
    <row r="5030" spans="1:3">
      <c r="A5030" s="102">
        <v>45264</v>
      </c>
      <c r="B5030">
        <v>0</v>
      </c>
      <c r="C5030" s="106">
        <v>3561871</v>
      </c>
    </row>
    <row r="5031" spans="1:3">
      <c r="A5031" s="102">
        <v>45265</v>
      </c>
      <c r="B5031">
        <v>8</v>
      </c>
      <c r="C5031" s="106">
        <v>3571774</v>
      </c>
    </row>
    <row r="5032" spans="1:3">
      <c r="A5032" s="102">
        <v>45266</v>
      </c>
      <c r="B5032">
        <v>0</v>
      </c>
      <c r="C5032" s="106">
        <v>3555503</v>
      </c>
    </row>
    <row r="5033" spans="1:3">
      <c r="A5033" s="102">
        <v>45267</v>
      </c>
      <c r="B5033">
        <v>0</v>
      </c>
      <c r="C5033" s="106">
        <v>3567054</v>
      </c>
    </row>
    <row r="5034" spans="1:3">
      <c r="A5034" s="102">
        <v>45268</v>
      </c>
      <c r="B5034">
        <v>0</v>
      </c>
      <c r="C5034" s="106">
        <v>3566779</v>
      </c>
    </row>
    <row r="5035" spans="1:3">
      <c r="A5035" s="102">
        <v>45269</v>
      </c>
      <c r="B5035">
        <v>0</v>
      </c>
      <c r="C5035" s="106">
        <v>3566779</v>
      </c>
    </row>
    <row r="5036" spans="1:3">
      <c r="A5036" s="102">
        <v>45270</v>
      </c>
      <c r="B5036">
        <v>0</v>
      </c>
      <c r="C5036" s="106">
        <v>3566779</v>
      </c>
    </row>
    <row r="5037" spans="1:3">
      <c r="A5037" s="102">
        <v>45271</v>
      </c>
      <c r="B5037">
        <v>1</v>
      </c>
      <c r="C5037" s="106">
        <v>3568945</v>
      </c>
    </row>
    <row r="5038" spans="1:3">
      <c r="A5038" s="102">
        <v>45272</v>
      </c>
      <c r="B5038">
        <v>12</v>
      </c>
      <c r="C5038" s="106">
        <v>3576595</v>
      </c>
    </row>
    <row r="5039" spans="1:3">
      <c r="A5039" s="102">
        <v>45273</v>
      </c>
      <c r="B5039">
        <v>39</v>
      </c>
      <c r="C5039" s="106">
        <v>3580141</v>
      </c>
    </row>
    <row r="5040" spans="1:3">
      <c r="A5040" s="102">
        <v>45274</v>
      </c>
      <c r="B5040">
        <v>16</v>
      </c>
      <c r="C5040" s="106">
        <v>3570646</v>
      </c>
    </row>
    <row r="5041" spans="1:3">
      <c r="A5041" s="102">
        <v>45275</v>
      </c>
      <c r="B5041">
        <v>284</v>
      </c>
      <c r="C5041" s="106">
        <v>3533695</v>
      </c>
    </row>
    <row r="5042" spans="1:3">
      <c r="A5042" s="102">
        <v>45276</v>
      </c>
      <c r="B5042">
        <v>284</v>
      </c>
      <c r="C5042" s="106">
        <v>3533695</v>
      </c>
    </row>
    <row r="5043" spans="1:3">
      <c r="A5043" s="102">
        <v>45277</v>
      </c>
      <c r="B5043">
        <v>284</v>
      </c>
      <c r="C5043" s="106">
        <v>3533695</v>
      </c>
    </row>
    <row r="5044" spans="1:3">
      <c r="A5044" s="102">
        <v>45278</v>
      </c>
      <c r="B5044">
        <v>125</v>
      </c>
      <c r="C5044" s="106">
        <v>3515562</v>
      </c>
    </row>
    <row r="5045" spans="1:3">
      <c r="A5045" s="102">
        <v>45279</v>
      </c>
      <c r="B5045">
        <v>253</v>
      </c>
      <c r="C5045" s="106">
        <v>3518287</v>
      </c>
    </row>
    <row r="5046" spans="1:3">
      <c r="A5046" s="102">
        <v>45280</v>
      </c>
      <c r="B5046">
        <v>242</v>
      </c>
      <c r="C5046" s="106">
        <v>3303533</v>
      </c>
    </row>
    <row r="5047" spans="1:3">
      <c r="A5047" s="102">
        <v>45281</v>
      </c>
      <c r="B5047">
        <v>100</v>
      </c>
      <c r="C5047" s="106">
        <v>3378713</v>
      </c>
    </row>
    <row r="5048" spans="1:3">
      <c r="A5048" s="102">
        <v>45282</v>
      </c>
      <c r="B5048">
        <v>200</v>
      </c>
      <c r="C5048" s="106">
        <v>3445633</v>
      </c>
    </row>
    <row r="5049" spans="1:3">
      <c r="A5049" s="102">
        <v>45283</v>
      </c>
      <c r="B5049">
        <v>200</v>
      </c>
      <c r="C5049" s="106">
        <v>3445633</v>
      </c>
    </row>
    <row r="5050" spans="1:3">
      <c r="A5050" s="102">
        <v>45284</v>
      </c>
      <c r="B5050">
        <v>200</v>
      </c>
      <c r="C5050" s="106">
        <v>3445633</v>
      </c>
    </row>
    <row r="5051" spans="1:3">
      <c r="A5051" s="102">
        <v>45285</v>
      </c>
      <c r="B5051">
        <v>200</v>
      </c>
      <c r="C5051" s="106">
        <v>3445633</v>
      </c>
    </row>
    <row r="5052" spans="1:3">
      <c r="A5052" s="102">
        <v>45286</v>
      </c>
      <c r="B5052">
        <v>200</v>
      </c>
      <c r="C5052" s="106">
        <v>3445633</v>
      </c>
    </row>
    <row r="5053" spans="1:3">
      <c r="A5053" s="102">
        <v>45287</v>
      </c>
      <c r="B5053">
        <v>240</v>
      </c>
      <c r="C5053" s="106">
        <v>3458311</v>
      </c>
    </row>
    <row r="5054" spans="1:3">
      <c r="A5054" s="102">
        <v>45288</v>
      </c>
      <c r="B5054">
        <v>240</v>
      </c>
      <c r="C5054" s="106">
        <v>3446572</v>
      </c>
    </row>
    <row r="5055" spans="1:3">
      <c r="A5055" s="102">
        <v>45289</v>
      </c>
      <c r="B5055">
        <v>10</v>
      </c>
      <c r="C5055" s="106">
        <v>3334822</v>
      </c>
    </row>
    <row r="5056" spans="1:3">
      <c r="A5056" s="102">
        <v>45290</v>
      </c>
      <c r="B5056">
        <v>10</v>
      </c>
      <c r="C5056" s="106">
        <v>3334822</v>
      </c>
    </row>
    <row r="5057" spans="1:3">
      <c r="A5057" s="102">
        <v>45291</v>
      </c>
      <c r="B5057">
        <v>10</v>
      </c>
      <c r="C5057" s="106">
        <v>3334822</v>
      </c>
    </row>
    <row r="5058" spans="1:3">
      <c r="A5058" s="102">
        <v>45292</v>
      </c>
      <c r="B5058">
        <v>10</v>
      </c>
      <c r="C5058" s="106">
        <v>3334822</v>
      </c>
    </row>
    <row r="5059" spans="1:3">
      <c r="A5059" s="102">
        <v>45293</v>
      </c>
      <c r="B5059">
        <v>206</v>
      </c>
      <c r="C5059" s="106">
        <v>3490543</v>
      </c>
    </row>
    <row r="5060" spans="1:3">
      <c r="A5060" s="102">
        <v>45294</v>
      </c>
      <c r="B5060">
        <v>0</v>
      </c>
      <c r="C5060" s="106">
        <v>3528638</v>
      </c>
    </row>
    <row r="5061" spans="1:3">
      <c r="A5061" s="102">
        <v>45295</v>
      </c>
      <c r="B5061">
        <v>0</v>
      </c>
      <c r="C5061" s="106">
        <v>3536831</v>
      </c>
    </row>
    <row r="5062" spans="1:3">
      <c r="A5062" s="102">
        <v>45296</v>
      </c>
      <c r="B5062">
        <v>0</v>
      </c>
      <c r="C5062" s="106">
        <v>3540135</v>
      </c>
    </row>
    <row r="5063" spans="1:3">
      <c r="A5063" s="102">
        <v>45297</v>
      </c>
      <c r="B5063">
        <v>0</v>
      </c>
      <c r="C5063" s="106">
        <v>3540135</v>
      </c>
    </row>
    <row r="5064" spans="1:3">
      <c r="A5064" s="102">
        <v>45298</v>
      </c>
      <c r="B5064">
        <v>0</v>
      </c>
      <c r="C5064" s="106">
        <v>3540135</v>
      </c>
    </row>
    <row r="5065" spans="1:3">
      <c r="A5065" s="102">
        <v>45299</v>
      </c>
      <c r="B5065">
        <v>0</v>
      </c>
      <c r="C5065" s="106">
        <v>3550056</v>
      </c>
    </row>
    <row r="5066" spans="1:3">
      <c r="A5066" s="102">
        <v>45300</v>
      </c>
      <c r="B5066">
        <v>2</v>
      </c>
      <c r="C5066" s="106">
        <v>3554263</v>
      </c>
    </row>
    <row r="5067" spans="1:3">
      <c r="A5067" s="102">
        <v>45301</v>
      </c>
      <c r="B5067">
        <v>33</v>
      </c>
      <c r="C5067" s="106">
        <v>3543414</v>
      </c>
    </row>
    <row r="5068" spans="1:3">
      <c r="A5068" s="102">
        <v>45302</v>
      </c>
      <c r="B5068">
        <v>6</v>
      </c>
      <c r="C5068" s="106">
        <v>3565220</v>
      </c>
    </row>
    <row r="5069" spans="1:3">
      <c r="A5069" s="102">
        <v>45303</v>
      </c>
      <c r="B5069">
        <v>0</v>
      </c>
      <c r="C5069" s="106">
        <v>3567187</v>
      </c>
    </row>
    <row r="5070" spans="1:3">
      <c r="A5070" s="102">
        <v>45304</v>
      </c>
      <c r="B5070">
        <v>0</v>
      </c>
      <c r="C5070" s="106">
        <v>3567187</v>
      </c>
    </row>
    <row r="5071" spans="1:3">
      <c r="A5071" s="102">
        <v>45305</v>
      </c>
      <c r="B5071">
        <v>0</v>
      </c>
      <c r="C5071" s="106">
        <v>3567187</v>
      </c>
    </row>
    <row r="5072" spans="1:3">
      <c r="A5072" s="102">
        <v>45306</v>
      </c>
      <c r="B5072">
        <v>6</v>
      </c>
      <c r="C5072" s="106">
        <v>3551416</v>
      </c>
    </row>
    <row r="5073" spans="1:3">
      <c r="A5073" s="102">
        <v>45307</v>
      </c>
      <c r="B5073">
        <v>231</v>
      </c>
      <c r="C5073" s="106">
        <v>3549886</v>
      </c>
    </row>
    <row r="5074" spans="1:3">
      <c r="A5074" s="102">
        <v>45308</v>
      </c>
      <c r="B5074">
        <v>30</v>
      </c>
      <c r="C5074" s="106">
        <v>3541687</v>
      </c>
    </row>
    <row r="5075" spans="1:3">
      <c r="A5075" s="102">
        <v>45309</v>
      </c>
      <c r="B5075">
        <v>20</v>
      </c>
      <c r="C5075" s="106">
        <v>3526850</v>
      </c>
    </row>
    <row r="5076" spans="1:3">
      <c r="A5076" s="102">
        <v>45310</v>
      </c>
      <c r="B5076">
        <v>0</v>
      </c>
      <c r="C5076" s="106">
        <v>3504253</v>
      </c>
    </row>
    <row r="5077" spans="1:3">
      <c r="A5077" s="102">
        <v>45311</v>
      </c>
      <c r="B5077">
        <v>0</v>
      </c>
      <c r="C5077" s="106">
        <v>3504253</v>
      </c>
    </row>
    <row r="5078" spans="1:3">
      <c r="A5078" s="102">
        <v>45312</v>
      </c>
      <c r="B5078">
        <v>0</v>
      </c>
      <c r="C5078" s="106">
        <v>3504253</v>
      </c>
    </row>
    <row r="5079" spans="1:3">
      <c r="A5079" s="102">
        <v>45313</v>
      </c>
      <c r="B5079">
        <v>0</v>
      </c>
      <c r="C5079" s="106">
        <v>3531197</v>
      </c>
    </row>
    <row r="5080" spans="1:3">
      <c r="A5080" s="102">
        <v>45314</v>
      </c>
      <c r="B5080">
        <v>25</v>
      </c>
      <c r="C5080" s="106">
        <v>3527437</v>
      </c>
    </row>
    <row r="5081" spans="1:3">
      <c r="A5081" s="102">
        <v>45315</v>
      </c>
      <c r="B5081">
        <v>0</v>
      </c>
      <c r="C5081" s="106">
        <v>3518373</v>
      </c>
    </row>
    <row r="5082" spans="1:3">
      <c r="A5082" s="102">
        <v>45316</v>
      </c>
      <c r="B5082">
        <v>0</v>
      </c>
      <c r="C5082" s="106">
        <v>3511979</v>
      </c>
    </row>
    <row r="5083" spans="1:3">
      <c r="A5083" s="102">
        <v>45317</v>
      </c>
      <c r="B5083">
        <v>0</v>
      </c>
      <c r="C5083" s="106">
        <v>3504318</v>
      </c>
    </row>
    <row r="5084" spans="1:3">
      <c r="A5084" s="102">
        <v>45318</v>
      </c>
      <c r="B5084">
        <v>0</v>
      </c>
      <c r="C5084" s="106">
        <v>3504318</v>
      </c>
    </row>
    <row r="5085" spans="1:3">
      <c r="A5085" s="102">
        <v>45319</v>
      </c>
      <c r="B5085">
        <v>0</v>
      </c>
      <c r="C5085" s="106">
        <v>3504318</v>
      </c>
    </row>
    <row r="5086" spans="1:3">
      <c r="A5086" s="102">
        <v>45320</v>
      </c>
      <c r="B5086">
        <v>62</v>
      </c>
      <c r="C5086" s="106">
        <v>3467200</v>
      </c>
    </row>
    <row r="5087" spans="1:3">
      <c r="A5087" s="102">
        <v>45321</v>
      </c>
      <c r="B5087">
        <v>107</v>
      </c>
      <c r="C5087" s="106">
        <v>3472446</v>
      </c>
    </row>
    <row r="5088" spans="1:3">
      <c r="A5088" s="102">
        <v>45322</v>
      </c>
      <c r="B5088">
        <v>101</v>
      </c>
      <c r="C5088" s="106">
        <v>3373742</v>
      </c>
    </row>
    <row r="5089" spans="1:3">
      <c r="A5089" s="102">
        <v>45323</v>
      </c>
      <c r="B5089">
        <v>30</v>
      </c>
      <c r="C5089" s="106">
        <v>3434236</v>
      </c>
    </row>
    <row r="5090" spans="1:3">
      <c r="A5090" s="102">
        <v>45324</v>
      </c>
      <c r="B5090">
        <v>0</v>
      </c>
      <c r="C5090" s="106">
        <v>3509062</v>
      </c>
    </row>
    <row r="5091" spans="1:3">
      <c r="A5091" s="102">
        <v>45325</v>
      </c>
      <c r="B5091">
        <v>0</v>
      </c>
      <c r="C5091" s="106">
        <v>3509062</v>
      </c>
    </row>
    <row r="5092" spans="1:3">
      <c r="A5092" s="102">
        <v>45326</v>
      </c>
      <c r="B5092">
        <v>0</v>
      </c>
      <c r="C5092" s="106">
        <v>3509062</v>
      </c>
    </row>
    <row r="5093" spans="1:3">
      <c r="A5093" s="102">
        <v>45327</v>
      </c>
      <c r="B5093">
        <v>3</v>
      </c>
      <c r="C5093" s="106">
        <v>3513193</v>
      </c>
    </row>
    <row r="5094" spans="1:3">
      <c r="A5094" s="102">
        <v>45328</v>
      </c>
      <c r="B5094">
        <v>0</v>
      </c>
      <c r="C5094" s="106">
        <v>3508138</v>
      </c>
    </row>
    <row r="5095" spans="1:3">
      <c r="A5095" s="102">
        <v>45329</v>
      </c>
      <c r="B5095">
        <v>0</v>
      </c>
      <c r="C5095" s="106">
        <v>3504016</v>
      </c>
    </row>
    <row r="5096" spans="1:3">
      <c r="A5096" s="102">
        <v>45330</v>
      </c>
      <c r="B5096">
        <v>0</v>
      </c>
      <c r="C5096" s="106">
        <v>3501667</v>
      </c>
    </row>
  </sheetData>
  <phoneticPr fontId="17" type="noConversion"/>
  <pageMargins left="0.75" right="0.75" top="1" bottom="1" header="0.5" footer="0.5"/>
  <pageSetup orientation="landscape" r:id="rId1"/>
  <headerFooter alignWithMargins="0">
    <oddHeader>&amp;C&amp;"Arial,Grassetto"&amp;16Standing Facilities</odd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E238"/>
  <sheetViews>
    <sheetView workbookViewId="0">
      <pane ySplit="1" topLeftCell="A232" activePane="bottomLeft" state="frozen"/>
      <selection activeCell="X30" sqref="X30"/>
      <selection pane="bottomLeft" activeCell="A238" sqref="A238"/>
    </sheetView>
  </sheetViews>
  <sheetFormatPr defaultRowHeight="12.75"/>
  <cols>
    <col min="1" max="1" width="23.140625" style="32" bestFit="1" customWidth="1"/>
    <col min="2" max="2" width="14.5703125" customWidth="1"/>
    <col min="3" max="3" width="23.140625" customWidth="1"/>
    <col min="4" max="4" width="19.7109375" bestFit="1" customWidth="1"/>
    <col min="5" max="5" width="14.42578125" customWidth="1"/>
  </cols>
  <sheetData>
    <row r="1" spans="1:5" ht="54.75" customHeight="1">
      <c r="A1" s="245" t="s">
        <v>110</v>
      </c>
      <c r="B1" s="246" t="s">
        <v>17</v>
      </c>
      <c r="C1" s="247" t="s">
        <v>19</v>
      </c>
      <c r="D1" s="248" t="s">
        <v>198</v>
      </c>
      <c r="E1" s="247" t="s">
        <v>251</v>
      </c>
    </row>
    <row r="2" spans="1:5">
      <c r="A2" s="33" t="s">
        <v>5</v>
      </c>
      <c r="B2" s="34">
        <v>120381</v>
      </c>
      <c r="C2" s="34">
        <v>120963</v>
      </c>
      <c r="D2" s="34">
        <f>C2-B2</f>
        <v>582</v>
      </c>
      <c r="E2" t="e">
        <f>IF(OR(WEEKDAY(#REF!)=1,WEEKDAY(#REF!)=7),"F","")</f>
        <v>#REF!</v>
      </c>
    </row>
    <row r="3" spans="1:5">
      <c r="A3" s="33" t="s">
        <v>6</v>
      </c>
      <c r="B3" s="34">
        <v>120830</v>
      </c>
      <c r="C3" s="34">
        <v>121431</v>
      </c>
      <c r="D3" s="34">
        <f t="shared" ref="D3:D84" si="0">C3-B3</f>
        <v>601</v>
      </c>
    </row>
    <row r="4" spans="1:5">
      <c r="A4" s="33" t="s">
        <v>7</v>
      </c>
      <c r="B4" s="34">
        <v>124170</v>
      </c>
      <c r="C4" s="34">
        <v>124786</v>
      </c>
      <c r="D4" s="34">
        <f t="shared" si="0"/>
        <v>616</v>
      </c>
    </row>
    <row r="5" spans="1:5">
      <c r="A5" s="33" t="s">
        <v>8</v>
      </c>
      <c r="B5" s="34">
        <v>125047</v>
      </c>
      <c r="C5" s="34">
        <v>125730</v>
      </c>
      <c r="D5" s="34">
        <f t="shared" si="0"/>
        <v>683</v>
      </c>
    </row>
    <row r="6" spans="1:5">
      <c r="A6" s="33" t="s">
        <v>9</v>
      </c>
      <c r="B6" s="34">
        <v>126418</v>
      </c>
      <c r="C6" s="34">
        <v>127112</v>
      </c>
      <c r="D6" s="34">
        <f t="shared" si="0"/>
        <v>694</v>
      </c>
    </row>
    <row r="7" spans="1:5">
      <c r="A7" s="33" t="s">
        <v>10</v>
      </c>
      <c r="B7" s="34">
        <v>127218</v>
      </c>
      <c r="C7" s="34">
        <v>127843</v>
      </c>
      <c r="D7" s="34">
        <f t="shared" si="0"/>
        <v>625</v>
      </c>
    </row>
    <row r="8" spans="1:5">
      <c r="A8" s="33" t="s">
        <v>11</v>
      </c>
      <c r="B8" s="34">
        <v>125315</v>
      </c>
      <c r="C8" s="34">
        <v>126099</v>
      </c>
      <c r="D8" s="34">
        <f t="shared" si="0"/>
        <v>784</v>
      </c>
    </row>
    <row r="9" spans="1:5">
      <c r="A9" s="33" t="s">
        <v>12</v>
      </c>
      <c r="B9" s="34">
        <v>124438</v>
      </c>
      <c r="C9" s="34">
        <v>125095</v>
      </c>
      <c r="D9" s="34">
        <f t="shared" si="0"/>
        <v>657</v>
      </c>
    </row>
    <row r="10" spans="1:5">
      <c r="A10" s="33" t="s">
        <v>13</v>
      </c>
      <c r="B10" s="34">
        <v>126135</v>
      </c>
      <c r="C10" s="34">
        <v>126732</v>
      </c>
      <c r="D10" s="34">
        <f t="shared" si="0"/>
        <v>597</v>
      </c>
    </row>
    <row r="11" spans="1:5">
      <c r="A11" s="33" t="s">
        <v>14</v>
      </c>
      <c r="B11" s="34">
        <v>126420</v>
      </c>
      <c r="C11" s="34">
        <v>127425</v>
      </c>
      <c r="D11" s="34">
        <f t="shared" si="0"/>
        <v>1005</v>
      </c>
    </row>
    <row r="12" spans="1:5">
      <c r="A12" s="33" t="s">
        <v>16</v>
      </c>
      <c r="B12" s="34">
        <v>128705</v>
      </c>
      <c r="C12" s="34">
        <v>130373</v>
      </c>
      <c r="D12" s="34">
        <f t="shared" si="0"/>
        <v>1668</v>
      </c>
    </row>
    <row r="13" spans="1:5">
      <c r="A13" s="33" t="s">
        <v>15</v>
      </c>
      <c r="B13" s="34">
        <v>131748</v>
      </c>
      <c r="C13" s="34">
        <v>132579</v>
      </c>
      <c r="D13" s="34">
        <f t="shared" si="0"/>
        <v>831</v>
      </c>
    </row>
    <row r="14" spans="1:5">
      <c r="A14" s="33" t="s">
        <v>18</v>
      </c>
      <c r="B14" s="34">
        <v>131274</v>
      </c>
      <c r="C14" s="34">
        <v>132124</v>
      </c>
      <c r="D14" s="34">
        <f t="shared" si="0"/>
        <v>850</v>
      </c>
    </row>
    <row r="15" spans="1:5">
      <c r="A15" s="33" t="s">
        <v>20</v>
      </c>
      <c r="B15" s="34">
        <v>130581</v>
      </c>
      <c r="C15" s="34">
        <v>131234</v>
      </c>
      <c r="D15" s="34">
        <f t="shared" si="0"/>
        <v>653</v>
      </c>
    </row>
    <row r="16" spans="1:5">
      <c r="A16" s="33" t="s">
        <v>21</v>
      </c>
      <c r="B16" s="34">
        <v>131002</v>
      </c>
      <c r="C16" s="34">
        <v>131684</v>
      </c>
      <c r="D16" s="34">
        <f t="shared" si="0"/>
        <v>682</v>
      </c>
    </row>
    <row r="17" spans="1:4">
      <c r="A17" s="33" t="s">
        <v>22</v>
      </c>
      <c r="B17" s="34">
        <v>131043</v>
      </c>
      <c r="C17" s="34">
        <v>131820</v>
      </c>
      <c r="D17" s="34">
        <f t="shared" si="0"/>
        <v>777</v>
      </c>
    </row>
    <row r="18" spans="1:4">
      <c r="A18" s="33" t="s">
        <v>23</v>
      </c>
      <c r="B18" s="34">
        <v>130653</v>
      </c>
      <c r="C18" s="34">
        <v>131381</v>
      </c>
      <c r="D18" s="34">
        <f t="shared" si="0"/>
        <v>728</v>
      </c>
    </row>
    <row r="19" spans="1:4">
      <c r="A19" s="33" t="s">
        <v>24</v>
      </c>
      <c r="B19" s="34">
        <v>129255</v>
      </c>
      <c r="C19" s="34">
        <v>129911</v>
      </c>
      <c r="D19" s="34">
        <f t="shared" si="0"/>
        <v>656</v>
      </c>
    </row>
    <row r="20" spans="1:4">
      <c r="A20" s="33" t="s">
        <v>25</v>
      </c>
      <c r="B20" s="34">
        <v>129004</v>
      </c>
      <c r="C20" s="34">
        <v>129606</v>
      </c>
      <c r="D20" s="34">
        <f t="shared" si="0"/>
        <v>602</v>
      </c>
    </row>
    <row r="21" spans="1:4">
      <c r="A21" s="33" t="s">
        <v>26</v>
      </c>
      <c r="B21" s="34">
        <v>127686</v>
      </c>
      <c r="C21" s="34">
        <v>128306</v>
      </c>
      <c r="D21" s="34">
        <f t="shared" si="0"/>
        <v>620</v>
      </c>
    </row>
    <row r="22" spans="1:4">
      <c r="A22" s="33" t="s">
        <v>27</v>
      </c>
      <c r="B22" s="34">
        <v>128652</v>
      </c>
      <c r="C22" s="34">
        <v>129277</v>
      </c>
      <c r="D22" s="34">
        <f t="shared" si="0"/>
        <v>625</v>
      </c>
    </row>
    <row r="23" spans="1:4">
      <c r="A23" s="33" t="s">
        <v>28</v>
      </c>
      <c r="B23" s="34">
        <v>128777</v>
      </c>
      <c r="C23" s="34">
        <v>129531</v>
      </c>
      <c r="D23" s="34">
        <f t="shared" si="0"/>
        <v>754</v>
      </c>
    </row>
    <row r="24" spans="1:4">
      <c r="A24" s="33" t="s">
        <v>29</v>
      </c>
      <c r="B24" s="34">
        <v>130850</v>
      </c>
      <c r="C24" s="34">
        <v>131552</v>
      </c>
      <c r="D24" s="34">
        <f t="shared" si="0"/>
        <v>702</v>
      </c>
    </row>
    <row r="25" spans="1:4">
      <c r="A25" s="33" t="s">
        <v>30</v>
      </c>
      <c r="B25" s="34">
        <v>130438</v>
      </c>
      <c r="C25" s="34">
        <v>131142</v>
      </c>
      <c r="D25" s="34">
        <f t="shared" si="0"/>
        <v>704</v>
      </c>
    </row>
    <row r="26" spans="1:4">
      <c r="A26" s="33" t="s">
        <v>31</v>
      </c>
      <c r="B26" s="34">
        <v>128940</v>
      </c>
      <c r="C26" s="34">
        <v>129643</v>
      </c>
      <c r="D26" s="34">
        <f t="shared" si="0"/>
        <v>703</v>
      </c>
    </row>
    <row r="27" spans="1:4">
      <c r="A27" s="33" t="s">
        <v>32</v>
      </c>
      <c r="B27" s="34">
        <v>129986</v>
      </c>
      <c r="C27" s="34">
        <v>130633</v>
      </c>
      <c r="D27" s="34">
        <f t="shared" si="0"/>
        <v>647</v>
      </c>
    </row>
    <row r="28" spans="1:4">
      <c r="A28" s="33" t="s">
        <v>33</v>
      </c>
      <c r="B28" s="34">
        <v>130347</v>
      </c>
      <c r="C28" s="34">
        <v>130949</v>
      </c>
      <c r="D28" s="34">
        <f t="shared" si="0"/>
        <v>602</v>
      </c>
    </row>
    <row r="29" spans="1:4">
      <c r="A29" s="33" t="s">
        <v>34</v>
      </c>
      <c r="B29" s="34">
        <v>131178</v>
      </c>
      <c r="C29" s="34">
        <v>131869</v>
      </c>
      <c r="D29" s="34">
        <f t="shared" si="0"/>
        <v>691</v>
      </c>
    </row>
    <row r="30" spans="1:4">
      <c r="A30" s="33" t="s">
        <v>35</v>
      </c>
      <c r="B30" s="34">
        <v>131577</v>
      </c>
      <c r="C30" s="34">
        <v>132178</v>
      </c>
      <c r="D30" s="34">
        <f t="shared" si="0"/>
        <v>601</v>
      </c>
    </row>
    <row r="31" spans="1:4">
      <c r="A31" s="33" t="s">
        <v>36</v>
      </c>
      <c r="B31" s="34">
        <v>132130</v>
      </c>
      <c r="C31" s="34">
        <v>132819</v>
      </c>
      <c r="D31" s="34">
        <f t="shared" si="0"/>
        <v>689</v>
      </c>
    </row>
    <row r="32" spans="1:4">
      <c r="A32" s="33" t="s">
        <v>37</v>
      </c>
      <c r="B32" s="34">
        <v>131342</v>
      </c>
      <c r="C32" s="34">
        <v>131979</v>
      </c>
      <c r="D32" s="34">
        <f t="shared" si="0"/>
        <v>637</v>
      </c>
    </row>
    <row r="33" spans="1:4">
      <c r="A33" s="33" t="s">
        <v>38</v>
      </c>
      <c r="B33" s="34">
        <v>131239</v>
      </c>
      <c r="C33" s="34">
        <v>131881</v>
      </c>
      <c r="D33" s="34">
        <f t="shared" si="0"/>
        <v>642</v>
      </c>
    </row>
    <row r="34" spans="1:4">
      <c r="A34" s="33" t="s">
        <v>39</v>
      </c>
      <c r="B34" s="34">
        <v>131039</v>
      </c>
      <c r="C34" s="34">
        <v>131771</v>
      </c>
      <c r="D34" s="34">
        <f t="shared" si="0"/>
        <v>732</v>
      </c>
    </row>
    <row r="35" spans="1:4">
      <c r="A35" s="33" t="s">
        <v>40</v>
      </c>
      <c r="B35" s="34">
        <v>131773</v>
      </c>
      <c r="C35" s="34">
        <v>132565</v>
      </c>
      <c r="D35" s="34">
        <f t="shared" si="0"/>
        <v>792</v>
      </c>
    </row>
    <row r="36" spans="1:4">
      <c r="A36" s="33" t="s">
        <v>41</v>
      </c>
      <c r="B36" s="34">
        <v>132754</v>
      </c>
      <c r="C36" s="34">
        <v>133632</v>
      </c>
      <c r="D36" s="34">
        <f t="shared" si="0"/>
        <v>878</v>
      </c>
    </row>
    <row r="37" spans="1:4">
      <c r="A37" s="33" t="s">
        <v>63</v>
      </c>
      <c r="B37" s="34">
        <v>133409</v>
      </c>
      <c r="C37" s="34">
        <v>134072</v>
      </c>
      <c r="D37" s="34">
        <f t="shared" si="0"/>
        <v>663</v>
      </c>
    </row>
    <row r="38" spans="1:4">
      <c r="A38" s="33" t="s">
        <v>64</v>
      </c>
      <c r="B38" s="34">
        <v>134600</v>
      </c>
      <c r="C38" s="34">
        <v>135271</v>
      </c>
      <c r="D38" s="34">
        <f t="shared" si="0"/>
        <v>671</v>
      </c>
    </row>
    <row r="39" spans="1:4">
      <c r="A39" s="33" t="s">
        <v>65</v>
      </c>
      <c r="B39" s="34">
        <v>134417</v>
      </c>
      <c r="C39" s="34">
        <v>135020</v>
      </c>
      <c r="D39" s="34">
        <f t="shared" si="0"/>
        <v>603</v>
      </c>
    </row>
    <row r="40" spans="1:4">
      <c r="A40" s="33" t="s">
        <v>66</v>
      </c>
      <c r="B40" s="34">
        <v>136415</v>
      </c>
      <c r="C40" s="34">
        <v>137073</v>
      </c>
      <c r="D40" s="34">
        <f t="shared" si="0"/>
        <v>658</v>
      </c>
    </row>
    <row r="41" spans="1:4">
      <c r="A41" s="33" t="s">
        <v>67</v>
      </c>
      <c r="B41" s="34">
        <v>137984</v>
      </c>
      <c r="C41" s="34">
        <v>138782</v>
      </c>
      <c r="D41" s="34">
        <f t="shared" si="0"/>
        <v>798</v>
      </c>
    </row>
    <row r="42" spans="1:4">
      <c r="A42" s="33" t="s">
        <v>68</v>
      </c>
      <c r="B42" s="34">
        <v>138459</v>
      </c>
      <c r="C42" s="34">
        <v>139110</v>
      </c>
      <c r="D42" s="34">
        <f t="shared" si="0"/>
        <v>651</v>
      </c>
    </row>
    <row r="43" spans="1:4">
      <c r="A43" s="33" t="s">
        <v>69</v>
      </c>
      <c r="B43" s="34">
        <v>138739</v>
      </c>
      <c r="C43" s="34">
        <v>139325</v>
      </c>
      <c r="D43" s="34">
        <f t="shared" si="0"/>
        <v>586</v>
      </c>
    </row>
    <row r="44" spans="1:4">
      <c r="A44" s="33" t="s">
        <v>70</v>
      </c>
      <c r="B44" s="34">
        <v>138680</v>
      </c>
      <c r="C44" s="34">
        <v>139285</v>
      </c>
      <c r="D44" s="34">
        <f t="shared" si="0"/>
        <v>605</v>
      </c>
    </row>
    <row r="45" spans="1:4">
      <c r="A45" s="33" t="s">
        <v>71</v>
      </c>
      <c r="B45" s="34">
        <v>137816</v>
      </c>
      <c r="C45" s="34">
        <v>138434</v>
      </c>
      <c r="D45" s="34">
        <f t="shared" si="0"/>
        <v>618</v>
      </c>
    </row>
    <row r="46" spans="1:4">
      <c r="A46" s="33" t="s">
        <v>72</v>
      </c>
      <c r="B46" s="34">
        <v>137949</v>
      </c>
      <c r="C46" s="34">
        <v>138545</v>
      </c>
      <c r="D46" s="34">
        <f t="shared" si="0"/>
        <v>596</v>
      </c>
    </row>
    <row r="47" spans="1:4">
      <c r="A47" s="33" t="s">
        <v>73</v>
      </c>
      <c r="B47" s="34">
        <v>138383</v>
      </c>
      <c r="C47" s="34">
        <v>139111</v>
      </c>
      <c r="D47" s="34">
        <f t="shared" si="0"/>
        <v>728</v>
      </c>
    </row>
    <row r="48" spans="1:4">
      <c r="A48" s="33" t="s">
        <v>74</v>
      </c>
      <c r="B48" s="34">
        <v>139255</v>
      </c>
      <c r="C48" s="34">
        <v>140029</v>
      </c>
      <c r="D48" s="34">
        <f t="shared" si="0"/>
        <v>774</v>
      </c>
    </row>
    <row r="49" spans="1:4">
      <c r="A49" s="33" t="s">
        <v>75</v>
      </c>
      <c r="B49" s="34">
        <v>140520</v>
      </c>
      <c r="C49" s="34">
        <v>141350</v>
      </c>
      <c r="D49" s="34">
        <f t="shared" si="0"/>
        <v>830</v>
      </c>
    </row>
    <row r="50" spans="1:4">
      <c r="A50" s="33" t="s">
        <v>76</v>
      </c>
      <c r="B50" s="34">
        <v>142641</v>
      </c>
      <c r="C50" s="34">
        <v>143283</v>
      </c>
      <c r="D50" s="34">
        <f t="shared" si="0"/>
        <v>642</v>
      </c>
    </row>
    <row r="51" spans="1:4">
      <c r="A51" s="33" t="s">
        <v>77</v>
      </c>
      <c r="B51" s="34">
        <v>143088</v>
      </c>
      <c r="C51" s="34">
        <v>144021</v>
      </c>
      <c r="D51" s="34">
        <f t="shared" si="0"/>
        <v>933</v>
      </c>
    </row>
    <row r="52" spans="1:4">
      <c r="A52" s="33" t="s">
        <v>78</v>
      </c>
      <c r="B52" s="34">
        <v>144597</v>
      </c>
      <c r="C52" s="34">
        <v>145453</v>
      </c>
      <c r="D52" s="34">
        <f t="shared" si="0"/>
        <v>856</v>
      </c>
    </row>
    <row r="53" spans="1:4">
      <c r="A53" s="33" t="s">
        <v>79</v>
      </c>
      <c r="B53" s="34">
        <v>147189</v>
      </c>
      <c r="C53" s="34">
        <v>147889</v>
      </c>
      <c r="D53" s="34">
        <f t="shared" si="0"/>
        <v>700</v>
      </c>
    </row>
    <row r="54" spans="1:4">
      <c r="A54" s="33" t="s">
        <v>80</v>
      </c>
      <c r="B54" s="34">
        <v>149164</v>
      </c>
      <c r="C54" s="34">
        <v>149790</v>
      </c>
      <c r="D54" s="34">
        <f t="shared" si="0"/>
        <v>626</v>
      </c>
    </row>
    <row r="55" spans="1:4">
      <c r="A55" s="33" t="s">
        <v>81</v>
      </c>
      <c r="B55" s="34">
        <v>149678</v>
      </c>
      <c r="C55" s="34">
        <v>150245</v>
      </c>
      <c r="D55" s="34">
        <f t="shared" si="0"/>
        <v>567</v>
      </c>
    </row>
    <row r="56" spans="1:4">
      <c r="A56" s="33" t="s">
        <v>82</v>
      </c>
      <c r="B56" s="34">
        <v>150706</v>
      </c>
      <c r="C56" s="34">
        <v>151428</v>
      </c>
      <c r="D56" s="34">
        <f t="shared" si="0"/>
        <v>722</v>
      </c>
    </row>
    <row r="57" spans="1:4">
      <c r="A57" s="33" t="s">
        <v>83</v>
      </c>
      <c r="B57" s="34">
        <v>149549</v>
      </c>
      <c r="C57" s="34">
        <v>150243</v>
      </c>
      <c r="D57" s="34">
        <f t="shared" si="0"/>
        <v>694</v>
      </c>
    </row>
    <row r="58" spans="1:4">
      <c r="A58" s="33" t="s">
        <v>84</v>
      </c>
      <c r="B58" s="34">
        <v>151973</v>
      </c>
      <c r="C58" s="34">
        <v>152996</v>
      </c>
      <c r="D58" s="34">
        <f t="shared" si="0"/>
        <v>1023</v>
      </c>
    </row>
    <row r="59" spans="1:4">
      <c r="A59" s="33" t="s">
        <v>85</v>
      </c>
      <c r="B59" s="34">
        <v>153251</v>
      </c>
      <c r="C59" s="34">
        <v>154055</v>
      </c>
      <c r="D59" s="34">
        <f t="shared" si="0"/>
        <v>804</v>
      </c>
    </row>
    <row r="60" spans="1:4">
      <c r="A60" s="33" t="s">
        <v>86</v>
      </c>
      <c r="B60" s="34">
        <v>154658</v>
      </c>
      <c r="C60" s="34">
        <v>155358</v>
      </c>
      <c r="D60" s="34">
        <f t="shared" si="0"/>
        <v>700</v>
      </c>
    </row>
    <row r="61" spans="1:4">
      <c r="A61" s="33" t="s">
        <v>87</v>
      </c>
      <c r="B61" s="34">
        <v>157663</v>
      </c>
      <c r="C61" s="34">
        <v>158290</v>
      </c>
      <c r="D61" s="34">
        <f t="shared" si="0"/>
        <v>627</v>
      </c>
    </row>
    <row r="62" spans="1:4">
      <c r="A62" s="33" t="s">
        <v>88</v>
      </c>
      <c r="B62" s="34">
        <v>158878</v>
      </c>
      <c r="C62" s="34">
        <v>159493</v>
      </c>
      <c r="D62" s="34">
        <f t="shared" si="0"/>
        <v>615</v>
      </c>
    </row>
    <row r="63" spans="1:4">
      <c r="A63" s="33" t="s">
        <v>89</v>
      </c>
      <c r="B63" s="34">
        <v>160399</v>
      </c>
      <c r="C63" s="34">
        <v>161180</v>
      </c>
      <c r="D63" s="34">
        <f t="shared" si="0"/>
        <v>781</v>
      </c>
    </row>
    <row r="64" spans="1:4">
      <c r="A64" s="33" t="s">
        <v>90</v>
      </c>
      <c r="B64" s="34">
        <v>162590</v>
      </c>
      <c r="C64" s="34">
        <v>163517</v>
      </c>
      <c r="D64" s="34">
        <f t="shared" si="0"/>
        <v>927</v>
      </c>
    </row>
    <row r="65" spans="1:4">
      <c r="A65" s="33" t="s">
        <v>91</v>
      </c>
      <c r="B65" s="34">
        <v>165577</v>
      </c>
      <c r="C65" s="34">
        <v>166322</v>
      </c>
      <c r="D65" s="34">
        <f t="shared" si="0"/>
        <v>745</v>
      </c>
    </row>
    <row r="66" spans="1:4">
      <c r="A66" s="33" t="s">
        <v>92</v>
      </c>
      <c r="B66" s="34">
        <v>166482</v>
      </c>
      <c r="C66" s="34">
        <v>167083</v>
      </c>
      <c r="D66" s="34">
        <f t="shared" si="0"/>
        <v>601</v>
      </c>
    </row>
    <row r="67" spans="1:4">
      <c r="A67" s="33" t="s">
        <v>93</v>
      </c>
      <c r="B67" s="34">
        <v>165802</v>
      </c>
      <c r="C67" s="34">
        <v>166399</v>
      </c>
      <c r="D67" s="34">
        <f t="shared" si="0"/>
        <v>597</v>
      </c>
    </row>
    <row r="68" spans="1:4">
      <c r="A68" s="33" t="s">
        <v>94</v>
      </c>
      <c r="B68" s="34">
        <v>166310</v>
      </c>
      <c r="C68" s="34">
        <v>166974</v>
      </c>
      <c r="D68" s="34">
        <f t="shared" si="0"/>
        <v>664</v>
      </c>
    </row>
    <row r="69" spans="1:4">
      <c r="A69" s="33" t="s">
        <v>95</v>
      </c>
      <c r="B69" s="34">
        <v>166228</v>
      </c>
      <c r="C69" s="34">
        <v>167014</v>
      </c>
      <c r="D69" s="34">
        <f t="shared" si="0"/>
        <v>786</v>
      </c>
    </row>
    <row r="70" spans="1:4">
      <c r="A70" s="33" t="s">
        <v>96</v>
      </c>
      <c r="B70" s="34">
        <v>172477</v>
      </c>
      <c r="C70" s="34">
        <v>173160</v>
      </c>
      <c r="D70" s="34">
        <f t="shared" si="0"/>
        <v>683</v>
      </c>
    </row>
    <row r="71" spans="1:4">
      <c r="A71" s="33" t="s">
        <v>97</v>
      </c>
      <c r="B71" s="34">
        <v>174302</v>
      </c>
      <c r="C71" s="34">
        <v>175264</v>
      </c>
      <c r="D71" s="34">
        <f t="shared" si="0"/>
        <v>962</v>
      </c>
    </row>
    <row r="72" spans="1:4">
      <c r="A72" s="33" t="s">
        <v>98</v>
      </c>
      <c r="B72" s="34">
        <v>175755</v>
      </c>
      <c r="C72" s="34">
        <v>176544</v>
      </c>
      <c r="D72" s="34">
        <f t="shared" si="0"/>
        <v>789</v>
      </c>
    </row>
    <row r="73" spans="1:4">
      <c r="A73" s="33" t="s">
        <v>99</v>
      </c>
      <c r="B73" s="34">
        <v>179771</v>
      </c>
      <c r="C73" s="34">
        <v>180569</v>
      </c>
      <c r="D73" s="34">
        <f t="shared" si="0"/>
        <v>798</v>
      </c>
    </row>
    <row r="74" spans="1:4">
      <c r="A74" s="33" t="s">
        <v>100</v>
      </c>
      <c r="B74" s="34">
        <v>181839</v>
      </c>
      <c r="C74" s="34">
        <v>182634</v>
      </c>
      <c r="D74" s="34">
        <f t="shared" si="0"/>
        <v>795</v>
      </c>
    </row>
    <row r="75" spans="1:4">
      <c r="A75" s="33" t="s">
        <v>101</v>
      </c>
      <c r="B75" s="34">
        <v>182221</v>
      </c>
      <c r="C75" s="34">
        <v>183208</v>
      </c>
      <c r="D75" s="34">
        <f t="shared" si="0"/>
        <v>987</v>
      </c>
    </row>
    <row r="76" spans="1:4">
      <c r="A76" s="33" t="s">
        <v>102</v>
      </c>
      <c r="B76" s="34">
        <v>185332</v>
      </c>
      <c r="C76" s="34">
        <v>186249</v>
      </c>
      <c r="D76" s="34">
        <f t="shared" si="0"/>
        <v>917</v>
      </c>
    </row>
    <row r="77" spans="1:4">
      <c r="A77" s="33" t="s">
        <v>103</v>
      </c>
      <c r="B77" s="34">
        <v>188334</v>
      </c>
      <c r="C77" s="34">
        <v>189581</v>
      </c>
      <c r="D77" s="34">
        <f t="shared" si="0"/>
        <v>1247</v>
      </c>
    </row>
    <row r="78" spans="1:4">
      <c r="A78" s="33" t="s">
        <v>104</v>
      </c>
      <c r="B78" s="34">
        <v>191262</v>
      </c>
      <c r="C78" s="34">
        <v>192003</v>
      </c>
      <c r="D78" s="34">
        <f t="shared" si="0"/>
        <v>741</v>
      </c>
    </row>
    <row r="79" spans="1:4">
      <c r="A79" s="33" t="s">
        <v>105</v>
      </c>
      <c r="B79" s="34">
        <v>191862</v>
      </c>
      <c r="C79" s="34">
        <v>192715</v>
      </c>
      <c r="D79" s="34">
        <f t="shared" si="0"/>
        <v>853</v>
      </c>
    </row>
    <row r="80" spans="1:4">
      <c r="A80" s="33" t="s">
        <v>106</v>
      </c>
      <c r="B80" s="34">
        <v>192502</v>
      </c>
      <c r="C80" s="34">
        <v>193379</v>
      </c>
      <c r="D80" s="34">
        <f t="shared" si="0"/>
        <v>877</v>
      </c>
    </row>
    <row r="81" spans="1:4">
      <c r="A81" s="33" t="s">
        <v>107</v>
      </c>
      <c r="B81" s="34">
        <v>193661</v>
      </c>
      <c r="C81" s="34">
        <v>194366</v>
      </c>
      <c r="D81" s="34">
        <f t="shared" si="0"/>
        <v>705</v>
      </c>
    </row>
    <row r="82" spans="1:4">
      <c r="A82" s="33" t="s">
        <v>108</v>
      </c>
      <c r="B82" s="34">
        <v>195872</v>
      </c>
      <c r="C82" s="34">
        <v>196840</v>
      </c>
      <c r="D82" s="34">
        <f t="shared" si="0"/>
        <v>968</v>
      </c>
    </row>
    <row r="83" spans="1:4">
      <c r="A83" s="33" t="s">
        <v>109</v>
      </c>
      <c r="B83" s="34">
        <v>199784</v>
      </c>
      <c r="C83" s="34">
        <v>200851</v>
      </c>
      <c r="D83" s="34">
        <f t="shared" si="0"/>
        <v>1067</v>
      </c>
    </row>
    <row r="84" spans="1:4">
      <c r="A84" s="33" t="s">
        <v>111</v>
      </c>
      <c r="B84" s="34">
        <v>201626</v>
      </c>
      <c r="C84" s="34">
        <v>202379</v>
      </c>
      <c r="D84" s="34">
        <f t="shared" si="0"/>
        <v>753</v>
      </c>
    </row>
    <row r="85" spans="1:4">
      <c r="A85" s="33" t="s">
        <v>112</v>
      </c>
      <c r="B85" s="34">
        <v>204569</v>
      </c>
      <c r="C85" s="34">
        <v>205306</v>
      </c>
      <c r="D85" s="34">
        <f t="shared" ref="D85:D101" si="1">C85-B85</f>
        <v>737</v>
      </c>
    </row>
    <row r="86" spans="1:4">
      <c r="A86" s="33" t="s">
        <v>113</v>
      </c>
      <c r="B86" s="34">
        <v>206901</v>
      </c>
      <c r="C86" s="34">
        <v>207529</v>
      </c>
      <c r="D86" s="34">
        <f t="shared" si="1"/>
        <v>628</v>
      </c>
    </row>
    <row r="87" spans="1:4">
      <c r="A87" s="33" t="s">
        <v>114</v>
      </c>
      <c r="B87" s="34">
        <v>207829</v>
      </c>
      <c r="C87" s="34">
        <v>208639</v>
      </c>
      <c r="D87" s="34">
        <f t="shared" si="1"/>
        <v>810</v>
      </c>
    </row>
    <row r="88" spans="1:4">
      <c r="A88" s="33" t="s">
        <v>115</v>
      </c>
      <c r="B88" s="34">
        <v>207332</v>
      </c>
      <c r="C88" s="34">
        <v>208082</v>
      </c>
      <c r="D88" s="34">
        <f t="shared" si="1"/>
        <v>750</v>
      </c>
    </row>
    <row r="89" spans="1:4">
      <c r="A89" s="33" t="s">
        <v>116</v>
      </c>
      <c r="B89" s="34">
        <v>211857</v>
      </c>
      <c r="C89" s="34">
        <v>212667</v>
      </c>
      <c r="D89" s="34">
        <f t="shared" si="1"/>
        <v>810</v>
      </c>
    </row>
    <row r="90" spans="1:4">
      <c r="A90" s="33" t="s">
        <v>117</v>
      </c>
      <c r="B90" s="34">
        <v>214062</v>
      </c>
      <c r="C90" s="34">
        <v>214765</v>
      </c>
      <c r="D90" s="34">
        <f t="shared" si="1"/>
        <v>703</v>
      </c>
    </row>
    <row r="91" spans="1:4">
      <c r="A91" s="33" t="s">
        <v>118</v>
      </c>
      <c r="B91" s="34">
        <v>213332</v>
      </c>
      <c r="C91" s="34">
        <v>214005</v>
      </c>
      <c r="D91" s="34">
        <f t="shared" si="1"/>
        <v>673</v>
      </c>
    </row>
    <row r="92" spans="1:4">
      <c r="A92" s="33" t="s">
        <v>119</v>
      </c>
      <c r="B92" s="34">
        <v>214764</v>
      </c>
      <c r="C92" s="34">
        <v>216765</v>
      </c>
      <c r="D92" s="34">
        <f t="shared" si="1"/>
        <v>2001</v>
      </c>
    </row>
    <row r="93" spans="1:4">
      <c r="A93" s="33" t="s">
        <v>120</v>
      </c>
      <c r="B93" s="34">
        <v>216071</v>
      </c>
      <c r="C93" s="34">
        <v>218557</v>
      </c>
      <c r="D93" s="34">
        <f t="shared" si="1"/>
        <v>2486</v>
      </c>
    </row>
    <row r="94" spans="1:4">
      <c r="A94" s="33" t="s">
        <v>121</v>
      </c>
      <c r="B94" s="34">
        <v>217220</v>
      </c>
      <c r="C94" s="34">
        <v>218682</v>
      </c>
      <c r="D94" s="34">
        <f t="shared" si="1"/>
        <v>1462</v>
      </c>
    </row>
    <row r="95" spans="1:4">
      <c r="A95" s="33" t="s">
        <v>122</v>
      </c>
      <c r="B95" s="34">
        <v>220232</v>
      </c>
      <c r="C95" s="34">
        <v>221501</v>
      </c>
      <c r="D95" s="34">
        <f t="shared" si="1"/>
        <v>1269</v>
      </c>
    </row>
    <row r="96" spans="1:4">
      <c r="A96" s="33" t="s">
        <v>123</v>
      </c>
      <c r="B96" s="34">
        <v>221056</v>
      </c>
      <c r="C96" s="34">
        <v>222052</v>
      </c>
      <c r="D96" s="34">
        <f t="shared" si="1"/>
        <v>996</v>
      </c>
    </row>
    <row r="97" spans="1:4">
      <c r="A97" s="33" t="s">
        <v>125</v>
      </c>
      <c r="B97" s="34">
        <v>217570</v>
      </c>
      <c r="C97" s="34">
        <v>218596</v>
      </c>
      <c r="D97" s="34">
        <f t="shared" si="1"/>
        <v>1026</v>
      </c>
    </row>
    <row r="98" spans="1:4">
      <c r="A98" s="33" t="s">
        <v>126</v>
      </c>
      <c r="B98" s="34">
        <v>220822</v>
      </c>
      <c r="C98" s="34">
        <v>221559</v>
      </c>
      <c r="D98" s="34">
        <f t="shared" si="1"/>
        <v>737</v>
      </c>
    </row>
    <row r="99" spans="1:4">
      <c r="A99" s="33" t="s">
        <v>127</v>
      </c>
      <c r="B99" s="34">
        <v>219714</v>
      </c>
      <c r="C99" s="34">
        <v>220803</v>
      </c>
      <c r="D99" s="34">
        <f t="shared" si="1"/>
        <v>1089</v>
      </c>
    </row>
    <row r="100" spans="1:4">
      <c r="A100" s="33" t="s">
        <v>128</v>
      </c>
      <c r="B100" s="34">
        <v>216682</v>
      </c>
      <c r="C100" s="34">
        <v>217863</v>
      </c>
      <c r="D100" s="34">
        <f t="shared" si="1"/>
        <v>1181</v>
      </c>
    </row>
    <row r="101" spans="1:4">
      <c r="A101" s="33" t="s">
        <v>129</v>
      </c>
      <c r="B101" s="34">
        <v>218095</v>
      </c>
      <c r="C101" s="34">
        <v>219212</v>
      </c>
      <c r="D101" s="34">
        <f t="shared" si="1"/>
        <v>1117</v>
      </c>
    </row>
    <row r="102" spans="1:4">
      <c r="A102" s="33" t="s">
        <v>130</v>
      </c>
      <c r="B102" s="34">
        <v>215998</v>
      </c>
      <c r="C102" s="34">
        <v>216894</v>
      </c>
      <c r="D102" s="34">
        <f t="shared" ref="D102:D115" si="2">C102-B102</f>
        <v>896</v>
      </c>
    </row>
    <row r="103" spans="1:4">
      <c r="A103" s="33" t="s">
        <v>131</v>
      </c>
      <c r="B103" s="34">
        <v>215923</v>
      </c>
      <c r="C103" s="34">
        <v>216886</v>
      </c>
      <c r="D103" s="34">
        <f t="shared" si="2"/>
        <v>963</v>
      </c>
    </row>
    <row r="104" spans="1:4">
      <c r="A104" s="33" t="s">
        <v>132</v>
      </c>
      <c r="B104" s="34">
        <v>213674</v>
      </c>
      <c r="C104" s="34">
        <v>214722</v>
      </c>
      <c r="D104" s="34">
        <f t="shared" si="2"/>
        <v>1048</v>
      </c>
    </row>
    <row r="105" spans="1:4">
      <c r="A105" s="33" t="s">
        <v>133</v>
      </c>
      <c r="B105" s="34">
        <v>211823</v>
      </c>
      <c r="C105" s="34">
        <v>212774</v>
      </c>
      <c r="D105" s="34">
        <f t="shared" si="2"/>
        <v>951</v>
      </c>
    </row>
    <row r="106" spans="1:4">
      <c r="A106" s="33" t="s">
        <v>134</v>
      </c>
      <c r="B106" s="34">
        <v>210228</v>
      </c>
      <c r="C106" s="34">
        <v>211439</v>
      </c>
      <c r="D106" s="34">
        <f t="shared" si="2"/>
        <v>1211</v>
      </c>
    </row>
    <row r="107" spans="1:4">
      <c r="A107" s="33" t="s">
        <v>135</v>
      </c>
      <c r="B107" s="34">
        <v>210078</v>
      </c>
      <c r="C107" s="34">
        <v>211250</v>
      </c>
      <c r="D107" s="34">
        <f t="shared" si="2"/>
        <v>1172</v>
      </c>
    </row>
    <row r="108" spans="1:4">
      <c r="A108" s="33" t="s">
        <v>136</v>
      </c>
      <c r="B108" s="34">
        <v>209466</v>
      </c>
      <c r="C108" s="34">
        <v>210912</v>
      </c>
      <c r="D108" s="34">
        <f t="shared" si="2"/>
        <v>1446</v>
      </c>
    </row>
    <row r="109" spans="1:4">
      <c r="A109" s="33" t="s">
        <v>137</v>
      </c>
      <c r="B109" s="34">
        <v>210850</v>
      </c>
      <c r="C109" s="34">
        <v>211839</v>
      </c>
      <c r="D109" s="34">
        <f t="shared" si="2"/>
        <v>989</v>
      </c>
    </row>
    <row r="110" spans="1:4">
      <c r="A110" s="33" t="s">
        <v>138</v>
      </c>
      <c r="B110" s="34">
        <v>211377</v>
      </c>
      <c r="C110" s="34">
        <v>212527</v>
      </c>
      <c r="D110" s="34">
        <f t="shared" si="2"/>
        <v>1150</v>
      </c>
    </row>
    <row r="111" spans="1:4">
      <c r="A111" s="33" t="s">
        <v>139</v>
      </c>
      <c r="B111" s="34">
        <v>211221</v>
      </c>
      <c r="C111" s="34">
        <v>212397</v>
      </c>
      <c r="D111" s="34">
        <f t="shared" si="2"/>
        <v>1176</v>
      </c>
    </row>
    <row r="112" spans="1:4">
      <c r="A112" s="94" t="s">
        <v>140</v>
      </c>
      <c r="B112" s="34">
        <v>211271</v>
      </c>
      <c r="C112" s="34">
        <v>212523</v>
      </c>
      <c r="D112" s="34">
        <f t="shared" si="2"/>
        <v>1252</v>
      </c>
    </row>
    <row r="113" spans="1:4">
      <c r="A113" s="94" t="s">
        <v>141</v>
      </c>
      <c r="B113" s="34">
        <v>213000</v>
      </c>
      <c r="C113" s="34">
        <v>214378</v>
      </c>
      <c r="D113" s="34">
        <f t="shared" si="2"/>
        <v>1378</v>
      </c>
    </row>
    <row r="114" spans="1:4">
      <c r="A114" s="94" t="s">
        <v>142</v>
      </c>
      <c r="B114" s="34">
        <v>214272</v>
      </c>
      <c r="C114" s="34">
        <v>215707</v>
      </c>
      <c r="D114" s="34">
        <f t="shared" si="2"/>
        <v>1435</v>
      </c>
    </row>
    <row r="115" spans="1:4">
      <c r="A115" s="94" t="s">
        <v>143</v>
      </c>
      <c r="B115" s="34">
        <v>213807</v>
      </c>
      <c r="C115" s="34">
        <v>215284</v>
      </c>
      <c r="D115" s="34">
        <f t="shared" si="2"/>
        <v>1477</v>
      </c>
    </row>
    <row r="116" spans="1:4">
      <c r="A116" s="94" t="s">
        <v>144</v>
      </c>
      <c r="B116" s="34">
        <v>211914</v>
      </c>
      <c r="C116" s="34">
        <v>213135</v>
      </c>
      <c r="D116" s="34">
        <f t="shared" ref="D116:D134" si="3">C116-B116</f>
        <v>1221</v>
      </c>
    </row>
    <row r="117" spans="1:4">
      <c r="A117" s="94" t="s">
        <v>145</v>
      </c>
      <c r="B117" s="34">
        <v>214007</v>
      </c>
      <c r="C117" s="34">
        <v>215209</v>
      </c>
      <c r="D117" s="34">
        <f t="shared" si="3"/>
        <v>1202</v>
      </c>
    </row>
    <row r="118" spans="1:4">
      <c r="A118" s="94" t="s">
        <v>146</v>
      </c>
      <c r="B118" s="34">
        <v>211769</v>
      </c>
      <c r="C118" s="34">
        <v>212500</v>
      </c>
      <c r="D118" s="34">
        <f t="shared" si="3"/>
        <v>731</v>
      </c>
    </row>
    <row r="119" spans="1:4">
      <c r="A119" s="94" t="s">
        <v>148</v>
      </c>
      <c r="B119" s="34">
        <v>210549</v>
      </c>
      <c r="C119" s="34">
        <v>212366</v>
      </c>
      <c r="D119" s="34">
        <f t="shared" si="3"/>
        <v>1817</v>
      </c>
    </row>
    <row r="120" spans="1:4">
      <c r="A120" s="94" t="s">
        <v>149</v>
      </c>
      <c r="B120" s="34">
        <v>212285</v>
      </c>
      <c r="C120" s="34">
        <v>213570</v>
      </c>
      <c r="D120" s="34">
        <f t="shared" si="3"/>
        <v>1285</v>
      </c>
    </row>
    <row r="121" spans="1:4">
      <c r="A121" s="94" t="s">
        <v>152</v>
      </c>
      <c r="B121" s="34">
        <v>211624</v>
      </c>
      <c r="C121" s="34">
        <v>212916</v>
      </c>
      <c r="D121" s="34">
        <f t="shared" si="3"/>
        <v>1292</v>
      </c>
    </row>
    <row r="122" spans="1:4">
      <c r="A122" s="94" t="s">
        <v>153</v>
      </c>
      <c r="B122" s="34">
        <v>209320</v>
      </c>
      <c r="C122" s="34">
        <v>210462</v>
      </c>
      <c r="D122" s="34">
        <f t="shared" si="3"/>
        <v>1142</v>
      </c>
    </row>
    <row r="123" spans="1:4">
      <c r="A123" s="94" t="s">
        <v>154</v>
      </c>
      <c r="B123" s="34">
        <v>208265</v>
      </c>
      <c r="C123" s="34">
        <v>209473</v>
      </c>
      <c r="D123" s="34">
        <f t="shared" si="3"/>
        <v>1208</v>
      </c>
    </row>
    <row r="124" spans="1:4">
      <c r="A124" s="94" t="s">
        <v>156</v>
      </c>
      <c r="B124" s="34">
        <v>206930</v>
      </c>
      <c r="C124" s="34">
        <v>208965</v>
      </c>
      <c r="D124" s="34">
        <f t="shared" si="3"/>
        <v>2035</v>
      </c>
    </row>
    <row r="125" spans="1:4">
      <c r="A125" s="94" t="s">
        <v>155</v>
      </c>
      <c r="B125" s="34">
        <v>207740</v>
      </c>
      <c r="C125" s="34">
        <v>210874</v>
      </c>
      <c r="D125" s="34">
        <f t="shared" si="3"/>
        <v>3134</v>
      </c>
    </row>
    <row r="126" spans="1:4">
      <c r="A126" s="94" t="s">
        <v>157</v>
      </c>
      <c r="B126" s="34">
        <v>208794</v>
      </c>
      <c r="C126" s="34">
        <v>211453</v>
      </c>
      <c r="D126" s="34">
        <f t="shared" si="3"/>
        <v>2659</v>
      </c>
    </row>
    <row r="127" spans="1:4">
      <c r="A127" s="94" t="s">
        <v>158</v>
      </c>
      <c r="B127" s="34">
        <v>206984</v>
      </c>
      <c r="C127" s="34">
        <v>209494</v>
      </c>
      <c r="D127" s="34">
        <f t="shared" si="3"/>
        <v>2510</v>
      </c>
    </row>
    <row r="128" spans="1:4">
      <c r="A128" s="94" t="s">
        <v>159</v>
      </c>
      <c r="B128" s="34">
        <v>206096</v>
      </c>
      <c r="C128" s="34">
        <v>208675</v>
      </c>
      <c r="D128" s="34">
        <f t="shared" si="3"/>
        <v>2579</v>
      </c>
    </row>
    <row r="129" spans="1:4">
      <c r="A129" s="94" t="s">
        <v>160</v>
      </c>
      <c r="B129" s="34">
        <v>206178</v>
      </c>
      <c r="C129" s="34">
        <v>208932</v>
      </c>
      <c r="D129" s="34">
        <f t="shared" si="3"/>
        <v>2754</v>
      </c>
    </row>
    <row r="130" spans="1:4">
      <c r="A130" s="94" t="s">
        <v>161</v>
      </c>
      <c r="B130" s="34">
        <v>207747</v>
      </c>
      <c r="C130" s="34">
        <v>212227</v>
      </c>
      <c r="D130" s="34">
        <f t="shared" si="3"/>
        <v>4480</v>
      </c>
    </row>
    <row r="131" spans="1:4">
      <c r="A131" s="94" t="s">
        <v>162</v>
      </c>
      <c r="B131" s="34">
        <v>207027</v>
      </c>
      <c r="C131" s="34">
        <v>212315</v>
      </c>
      <c r="D131" s="34">
        <f t="shared" si="3"/>
        <v>5288</v>
      </c>
    </row>
    <row r="132" spans="1:4">
      <c r="A132" s="94" t="s">
        <v>163</v>
      </c>
      <c r="B132" s="34">
        <v>103330</v>
      </c>
      <c r="C132" s="34">
        <v>108058</v>
      </c>
      <c r="D132" s="34">
        <f t="shared" si="3"/>
        <v>4728</v>
      </c>
    </row>
    <row r="133" spans="1:4">
      <c r="A133" s="94" t="s">
        <v>164</v>
      </c>
      <c r="B133" s="34">
        <v>104294</v>
      </c>
      <c r="C133" s="34">
        <v>108863</v>
      </c>
      <c r="D133" s="34">
        <f t="shared" si="3"/>
        <v>4569</v>
      </c>
    </row>
    <row r="134" spans="1:4">
      <c r="A134" s="94" t="s">
        <v>165</v>
      </c>
      <c r="B134" s="34">
        <v>105365</v>
      </c>
      <c r="C134" s="34">
        <v>108906</v>
      </c>
      <c r="D134" s="34">
        <f t="shared" si="3"/>
        <v>3541</v>
      </c>
    </row>
    <row r="135" spans="1:4">
      <c r="A135" s="94" t="s">
        <v>166</v>
      </c>
      <c r="B135" s="34">
        <v>105222</v>
      </c>
      <c r="C135" s="34">
        <v>110490</v>
      </c>
      <c r="D135" s="34">
        <f t="shared" ref="D135:D162" si="4">C135-B135</f>
        <v>5268</v>
      </c>
    </row>
    <row r="136" spans="1:4">
      <c r="A136" s="94" t="s">
        <v>167</v>
      </c>
      <c r="B136" s="34">
        <v>106582</v>
      </c>
      <c r="C136" s="34">
        <v>110788</v>
      </c>
      <c r="D136" s="34">
        <f t="shared" si="4"/>
        <v>4206</v>
      </c>
    </row>
    <row r="137" spans="1:4">
      <c r="A137" s="94" t="s">
        <v>168</v>
      </c>
      <c r="B137" s="34">
        <v>106911</v>
      </c>
      <c r="C137" s="34">
        <v>111525</v>
      </c>
      <c r="D137" s="34">
        <f t="shared" si="4"/>
        <v>4614</v>
      </c>
    </row>
    <row r="138" spans="1:4">
      <c r="A138" s="94" t="s">
        <v>169</v>
      </c>
      <c r="B138" s="34">
        <v>106989</v>
      </c>
      <c r="C138" s="34">
        <v>510228</v>
      </c>
      <c r="D138" s="34">
        <f t="shared" si="4"/>
        <v>403239</v>
      </c>
    </row>
    <row r="139" spans="1:4">
      <c r="A139" s="94" t="s">
        <v>170</v>
      </c>
      <c r="B139" s="34">
        <v>107123</v>
      </c>
      <c r="C139" s="34">
        <v>540017</v>
      </c>
      <c r="D139" s="34">
        <f t="shared" si="4"/>
        <v>432894</v>
      </c>
    </row>
    <row r="140" spans="1:4">
      <c r="A140" s="94" t="s">
        <v>171</v>
      </c>
      <c r="B140" s="34">
        <v>107020</v>
      </c>
      <c r="C140" s="34">
        <v>538112</v>
      </c>
      <c r="D140" s="34">
        <f t="shared" si="4"/>
        <v>431092</v>
      </c>
    </row>
    <row r="141" spans="1:4">
      <c r="A141" s="94" t="s">
        <v>172</v>
      </c>
      <c r="B141" s="34">
        <v>106434</v>
      </c>
      <c r="C141" s="34">
        <v>529154</v>
      </c>
      <c r="D141" s="34">
        <f t="shared" si="4"/>
        <v>422720</v>
      </c>
    </row>
    <row r="142" spans="1:4">
      <c r="A142" s="94" t="s">
        <v>173</v>
      </c>
      <c r="B142" s="34">
        <v>106352</v>
      </c>
      <c r="C142" s="34">
        <v>509878</v>
      </c>
      <c r="D142" s="34">
        <f t="shared" si="4"/>
        <v>403526</v>
      </c>
    </row>
    <row r="143" spans="1:4">
      <c r="A143" s="94" t="s">
        <v>174</v>
      </c>
      <c r="B143" s="34">
        <v>106008</v>
      </c>
      <c r="C143" s="34">
        <v>488988</v>
      </c>
      <c r="D143" s="34">
        <f t="shared" si="4"/>
        <v>382980</v>
      </c>
    </row>
    <row r="144" spans="1:4">
      <c r="A144" s="94" t="s">
        <v>175</v>
      </c>
      <c r="B144" s="34">
        <v>105434</v>
      </c>
      <c r="C144" s="34">
        <v>466298</v>
      </c>
      <c r="D144" s="34">
        <f t="shared" si="4"/>
        <v>360864</v>
      </c>
    </row>
    <row r="145" spans="1:4">
      <c r="A145" s="94" t="s">
        <v>176</v>
      </c>
      <c r="B145" s="34">
        <v>105618</v>
      </c>
      <c r="C145" s="34">
        <v>403018</v>
      </c>
      <c r="D145" s="34">
        <f t="shared" si="4"/>
        <v>297400</v>
      </c>
    </row>
    <row r="146" spans="1:4">
      <c r="A146" s="94" t="s">
        <v>177</v>
      </c>
      <c r="B146" s="34">
        <v>104893</v>
      </c>
      <c r="C146" s="34">
        <v>346017</v>
      </c>
      <c r="D146" s="34">
        <f t="shared" si="4"/>
        <v>241124</v>
      </c>
    </row>
    <row r="147" spans="1:4">
      <c r="A147" s="94" t="s">
        <v>178</v>
      </c>
      <c r="B147" s="34">
        <v>104871</v>
      </c>
      <c r="C147" s="34">
        <v>322211</v>
      </c>
      <c r="D147" s="34">
        <f t="shared" si="4"/>
        <v>217340</v>
      </c>
    </row>
    <row r="148" spans="1:4">
      <c r="A148" s="94" t="s">
        <v>179</v>
      </c>
      <c r="B148" s="34">
        <v>105302</v>
      </c>
      <c r="C148" s="34">
        <v>300344</v>
      </c>
      <c r="D148" s="34">
        <f t="shared" si="4"/>
        <v>195042</v>
      </c>
    </row>
    <row r="149" spans="1:4">
      <c r="A149" s="94" t="s">
        <v>180</v>
      </c>
      <c r="B149" s="34">
        <v>105066</v>
      </c>
      <c r="C149" s="34">
        <v>286483</v>
      </c>
      <c r="D149" s="34">
        <f t="shared" si="4"/>
        <v>181417</v>
      </c>
    </row>
    <row r="150" spans="1:4">
      <c r="A150" s="94" t="s">
        <v>181</v>
      </c>
      <c r="B150" s="34">
        <v>104473</v>
      </c>
      <c r="C150" s="34">
        <v>269961</v>
      </c>
      <c r="D150" s="34">
        <f t="shared" si="4"/>
        <v>165488</v>
      </c>
    </row>
    <row r="151" spans="1:4">
      <c r="A151" s="94" t="s">
        <v>182</v>
      </c>
      <c r="B151" s="34">
        <v>104939</v>
      </c>
      <c r="C151" s="34">
        <v>271539</v>
      </c>
      <c r="D151" s="34">
        <f t="shared" si="4"/>
        <v>166600</v>
      </c>
    </row>
    <row r="152" spans="1:4">
      <c r="A152" s="94" t="s">
        <v>183</v>
      </c>
      <c r="B152" s="34">
        <v>103753</v>
      </c>
      <c r="C152" s="34">
        <v>268427</v>
      </c>
      <c r="D152" s="34">
        <f t="shared" si="4"/>
        <v>164674</v>
      </c>
    </row>
    <row r="153" spans="1:4">
      <c r="A153" s="94" t="s">
        <v>184</v>
      </c>
      <c r="B153" s="34">
        <v>103760</v>
      </c>
      <c r="C153" s="34">
        <v>244867</v>
      </c>
      <c r="D153" s="34">
        <f t="shared" si="4"/>
        <v>141107</v>
      </c>
    </row>
    <row r="154" spans="1:4">
      <c r="A154" s="94" t="s">
        <v>185</v>
      </c>
      <c r="B154" s="34">
        <v>103321</v>
      </c>
      <c r="C154" s="34">
        <v>220244</v>
      </c>
      <c r="D154" s="34">
        <f t="shared" si="4"/>
        <v>116923</v>
      </c>
    </row>
    <row r="155" spans="1:4">
      <c r="A155" s="94" t="s">
        <v>186</v>
      </c>
      <c r="B155" s="34">
        <v>103272</v>
      </c>
      <c r="C155" s="34">
        <v>248080</v>
      </c>
      <c r="D155" s="34">
        <f t="shared" si="4"/>
        <v>144808</v>
      </c>
    </row>
    <row r="156" spans="1:4">
      <c r="A156" s="94" t="s">
        <v>187</v>
      </c>
      <c r="B156" s="34">
        <v>103610</v>
      </c>
      <c r="C156" s="34">
        <v>216034</v>
      </c>
      <c r="D156" s="34">
        <f t="shared" si="4"/>
        <v>112424</v>
      </c>
    </row>
    <row r="157" spans="1:4">
      <c r="A157" s="94" t="s">
        <v>188</v>
      </c>
      <c r="B157" s="34">
        <v>102833</v>
      </c>
      <c r="C157" s="34">
        <v>201109</v>
      </c>
      <c r="D157" s="34">
        <f t="shared" si="4"/>
        <v>98276</v>
      </c>
    </row>
    <row r="158" spans="1:4">
      <c r="A158" s="94" t="s">
        <v>189</v>
      </c>
      <c r="B158" s="34">
        <v>103570</v>
      </c>
      <c r="C158" s="34">
        <v>195216</v>
      </c>
      <c r="D158" s="34">
        <f t="shared" si="4"/>
        <v>91646</v>
      </c>
    </row>
    <row r="159" spans="1:4">
      <c r="A159" s="94" t="s">
        <v>190</v>
      </c>
      <c r="B159" s="34">
        <v>103505</v>
      </c>
      <c r="C159" s="34">
        <v>191238</v>
      </c>
      <c r="D159" s="34">
        <f t="shared" si="4"/>
        <v>87733</v>
      </c>
    </row>
    <row r="160" spans="1:4">
      <c r="A160" s="94" t="s">
        <v>191</v>
      </c>
      <c r="B160" s="34">
        <v>103925</v>
      </c>
      <c r="C160" s="34">
        <v>192257</v>
      </c>
      <c r="D160" s="34">
        <f t="shared" si="4"/>
        <v>88332</v>
      </c>
    </row>
    <row r="161" spans="1:5">
      <c r="A161" s="94" t="s">
        <v>192</v>
      </c>
      <c r="B161" s="34">
        <v>104426</v>
      </c>
      <c r="C161" s="34">
        <v>214269</v>
      </c>
      <c r="D161" s="34">
        <f t="shared" si="4"/>
        <v>109843</v>
      </c>
    </row>
    <row r="162" spans="1:5" s="35" customFormat="1">
      <c r="A162" s="35" t="s">
        <v>193</v>
      </c>
      <c r="B162" s="34">
        <v>105000</v>
      </c>
      <c r="C162" s="34">
        <v>210231</v>
      </c>
      <c r="D162" s="34">
        <f t="shared" si="4"/>
        <v>105231</v>
      </c>
    </row>
    <row r="163" spans="1:5">
      <c r="A163" s="35" t="s">
        <v>194</v>
      </c>
      <c r="B163" s="34">
        <v>105225</v>
      </c>
      <c r="C163" s="34">
        <v>210107</v>
      </c>
      <c r="D163" s="34">
        <f t="shared" ref="D163:D175" si="5">C163-B163</f>
        <v>104882</v>
      </c>
    </row>
    <row r="164" spans="1:5">
      <c r="A164" s="35" t="s">
        <v>195</v>
      </c>
      <c r="B164" s="34">
        <v>105349</v>
      </c>
      <c r="C164" s="34">
        <v>192641</v>
      </c>
      <c r="D164" s="34">
        <f t="shared" si="5"/>
        <v>87292</v>
      </c>
    </row>
    <row r="165" spans="1:5">
      <c r="A165" s="35" t="s">
        <v>196</v>
      </c>
      <c r="B165" s="34">
        <v>105707</v>
      </c>
      <c r="C165" s="34">
        <v>188272</v>
      </c>
      <c r="D165" s="34">
        <f t="shared" si="5"/>
        <v>82565</v>
      </c>
    </row>
    <row r="166" spans="1:5">
      <c r="A166" s="35" t="s">
        <v>197</v>
      </c>
      <c r="B166" s="34">
        <v>106452</v>
      </c>
      <c r="C166" s="34">
        <v>185444</v>
      </c>
      <c r="D166" s="34">
        <f t="shared" si="5"/>
        <v>78992</v>
      </c>
    </row>
    <row r="167" spans="1:5">
      <c r="A167" s="35" t="s">
        <v>215</v>
      </c>
      <c r="B167" s="34">
        <v>106240</v>
      </c>
      <c r="C167" s="34">
        <v>236259</v>
      </c>
      <c r="D167" s="34">
        <f t="shared" si="5"/>
        <v>130019</v>
      </c>
      <c r="E167" s="125">
        <v>3700</v>
      </c>
    </row>
    <row r="168" spans="1:5">
      <c r="A168" s="35" t="s">
        <v>214</v>
      </c>
      <c r="B168" s="34">
        <v>107543</v>
      </c>
      <c r="C168" s="34">
        <v>225345</v>
      </c>
      <c r="D168" s="34">
        <f t="shared" si="5"/>
        <v>117802</v>
      </c>
      <c r="E168" s="125">
        <v>2421</v>
      </c>
    </row>
    <row r="169" spans="1:5">
      <c r="A169" s="35" t="s">
        <v>213</v>
      </c>
      <c r="B169" s="34">
        <v>110564</v>
      </c>
      <c r="C169" s="34">
        <v>261844</v>
      </c>
      <c r="D169" s="34">
        <f t="shared" si="5"/>
        <v>151280</v>
      </c>
      <c r="E169" s="125">
        <v>3069</v>
      </c>
    </row>
    <row r="170" spans="1:5">
      <c r="A170" s="35" t="s">
        <v>212</v>
      </c>
      <c r="B170" s="34">
        <v>110340</v>
      </c>
      <c r="C170" s="34">
        <v>303399</v>
      </c>
      <c r="D170" s="34">
        <f t="shared" si="5"/>
        <v>193059</v>
      </c>
      <c r="E170" s="125">
        <v>3661</v>
      </c>
    </row>
    <row r="171" spans="1:5">
      <c r="A171" s="35" t="s">
        <v>211</v>
      </c>
      <c r="B171" s="34">
        <v>112289</v>
      </c>
      <c r="C171" s="34">
        <v>381355</v>
      </c>
      <c r="D171" s="34">
        <f t="shared" si="5"/>
        <v>269066</v>
      </c>
      <c r="E171" s="125">
        <v>3431</v>
      </c>
    </row>
    <row r="172" spans="1:5">
      <c r="A172" s="33" t="s">
        <v>210</v>
      </c>
      <c r="B172" s="34">
        <v>113227</v>
      </c>
      <c r="C172" s="34">
        <v>465325</v>
      </c>
      <c r="D172" s="34">
        <f t="shared" si="5"/>
        <v>352098</v>
      </c>
      <c r="E172" s="125">
        <v>4570</v>
      </c>
    </row>
    <row r="173" spans="1:5">
      <c r="A173" s="33" t="s">
        <v>209</v>
      </c>
      <c r="B173" s="34">
        <v>113061</v>
      </c>
      <c r="C173" s="34">
        <v>493816</v>
      </c>
      <c r="D173" s="34">
        <f t="shared" si="5"/>
        <v>380755</v>
      </c>
      <c r="E173" s="125">
        <v>5455</v>
      </c>
    </row>
    <row r="174" spans="1:5">
      <c r="A174" s="33" t="s">
        <v>208</v>
      </c>
      <c r="B174" s="34">
        <v>113285</v>
      </c>
      <c r="C174" s="34">
        <v>557104</v>
      </c>
      <c r="D174" s="34">
        <f t="shared" si="5"/>
        <v>443819</v>
      </c>
      <c r="E174" s="125">
        <v>5686</v>
      </c>
    </row>
    <row r="175" spans="1:5">
      <c r="A175" s="33" t="s">
        <v>207</v>
      </c>
      <c r="B175" s="34">
        <v>113848</v>
      </c>
      <c r="C175" s="34">
        <v>556540</v>
      </c>
      <c r="D175" s="34">
        <f t="shared" si="5"/>
        <v>442692</v>
      </c>
      <c r="E175" s="125">
        <v>6024</v>
      </c>
    </row>
    <row r="176" spans="1:5">
      <c r="A176" s="33" t="s">
        <v>206</v>
      </c>
      <c r="B176" s="34">
        <v>114313</v>
      </c>
      <c r="C176" s="34">
        <v>569992</v>
      </c>
      <c r="D176" s="34">
        <f t="shared" ref="D176:D185" si="6">C176-B176</f>
        <v>455679</v>
      </c>
      <c r="E176" s="125">
        <f>19646-14418</f>
        <v>5228</v>
      </c>
    </row>
    <row r="177" spans="1:5">
      <c r="A177" s="33" t="s">
        <v>205</v>
      </c>
      <c r="B177" s="34">
        <v>115032</v>
      </c>
      <c r="C177" s="34">
        <v>623754</v>
      </c>
      <c r="D177" s="34">
        <f t="shared" si="6"/>
        <v>508722</v>
      </c>
      <c r="E177" s="125">
        <f>-14346+22949</f>
        <v>8603</v>
      </c>
    </row>
    <row r="178" spans="1:5">
      <c r="A178" s="33" t="s">
        <v>204</v>
      </c>
      <c r="B178" s="34">
        <v>115840</v>
      </c>
      <c r="C178" s="34">
        <v>657453</v>
      </c>
      <c r="D178" s="34">
        <f t="shared" si="6"/>
        <v>541613</v>
      </c>
      <c r="E178" s="125">
        <v>9127</v>
      </c>
    </row>
    <row r="179" spans="1:5">
      <c r="A179" s="33" t="s">
        <v>203</v>
      </c>
      <c r="B179" s="34">
        <v>116686</v>
      </c>
      <c r="C179" s="34">
        <v>748404</v>
      </c>
      <c r="D179" s="34">
        <f t="shared" si="6"/>
        <v>631718</v>
      </c>
      <c r="E179" s="125">
        <f>29388-14522</f>
        <v>14866</v>
      </c>
    </row>
    <row r="180" spans="1:5">
      <c r="A180" s="33" t="s">
        <v>202</v>
      </c>
      <c r="B180" s="34">
        <v>117776</v>
      </c>
      <c r="C180" s="34">
        <v>777403</v>
      </c>
      <c r="D180" s="34">
        <f t="shared" si="6"/>
        <v>659627</v>
      </c>
      <c r="E180" s="125">
        <v>12327</v>
      </c>
    </row>
    <row r="181" spans="1:5">
      <c r="A181" s="33" t="s">
        <v>201</v>
      </c>
      <c r="B181" s="34">
        <v>117402</v>
      </c>
      <c r="C181" s="34">
        <v>824143</v>
      </c>
      <c r="D181" s="34">
        <f t="shared" si="6"/>
        <v>706741</v>
      </c>
      <c r="E181" s="125">
        <f>34958-14483</f>
        <v>20475</v>
      </c>
    </row>
    <row r="182" spans="1:5">
      <c r="A182" s="33" t="s">
        <v>199</v>
      </c>
      <c r="B182" s="34">
        <v>118753</v>
      </c>
      <c r="C182" s="34">
        <v>919031</v>
      </c>
      <c r="D182" s="34">
        <f t="shared" si="6"/>
        <v>800278</v>
      </c>
      <c r="E182" s="125">
        <f>-14618+42960</f>
        <v>28342</v>
      </c>
    </row>
    <row r="183" spans="1:5">
      <c r="A183" s="33" t="s">
        <v>200</v>
      </c>
      <c r="B183" s="34">
        <v>120373</v>
      </c>
      <c r="C183" s="34">
        <v>960893</v>
      </c>
      <c r="D183" s="34">
        <f t="shared" si="6"/>
        <v>840520</v>
      </c>
      <c r="E183" s="125">
        <v>31302</v>
      </c>
    </row>
    <row r="184" spans="1:5">
      <c r="A184" s="33" t="s">
        <v>216</v>
      </c>
      <c r="B184" s="34">
        <v>120626</v>
      </c>
      <c r="C184" s="34">
        <v>1081113</v>
      </c>
      <c r="D184" s="34">
        <f t="shared" si="6"/>
        <v>960487</v>
      </c>
      <c r="E184" s="125">
        <v>53394</v>
      </c>
    </row>
    <row r="185" spans="1:5">
      <c r="A185" s="33" t="s">
        <v>217</v>
      </c>
      <c r="B185" s="34">
        <v>122291</v>
      </c>
      <c r="C185" s="34">
        <v>1178719</v>
      </c>
      <c r="D185" s="34">
        <f t="shared" si="6"/>
        <v>1056428</v>
      </c>
      <c r="E185" s="125">
        <v>65712</v>
      </c>
    </row>
    <row r="186" spans="1:5">
      <c r="A186" s="33" t="s">
        <v>218</v>
      </c>
      <c r="B186" s="34">
        <v>122574</v>
      </c>
      <c r="C186" s="34">
        <v>1169209</v>
      </c>
      <c r="D186" s="34">
        <f t="shared" ref="D186:D192" si="7">C186-B186</f>
        <v>1046635</v>
      </c>
      <c r="E186" s="125">
        <f>83418-14877</f>
        <v>68541</v>
      </c>
    </row>
    <row r="187" spans="1:5">
      <c r="A187" s="33" t="s">
        <v>220</v>
      </c>
      <c r="B187" s="34">
        <v>122133</v>
      </c>
      <c r="C187" s="34">
        <v>1242740</v>
      </c>
      <c r="D187" s="34">
        <f t="shared" si="7"/>
        <v>1120607</v>
      </c>
      <c r="E187" s="125">
        <f>96033-14746</f>
        <v>81287</v>
      </c>
    </row>
    <row r="188" spans="1:5">
      <c r="A188" s="33" t="s">
        <v>219</v>
      </c>
      <c r="B188" s="34">
        <v>122287</v>
      </c>
      <c r="C188" s="34">
        <v>1253271</v>
      </c>
      <c r="D188" s="34">
        <f t="shared" si="7"/>
        <v>1130984</v>
      </c>
      <c r="E188" s="125">
        <v>86043</v>
      </c>
    </row>
    <row r="189" spans="1:5">
      <c r="A189" s="33" t="s">
        <v>221</v>
      </c>
      <c r="B189" s="34">
        <v>122859</v>
      </c>
      <c r="C189" s="34">
        <v>1309687</v>
      </c>
      <c r="D189" s="34">
        <f t="shared" si="7"/>
        <v>1186828</v>
      </c>
      <c r="E189" s="125">
        <f>105838-15239</f>
        <v>90599</v>
      </c>
    </row>
    <row r="190" spans="1:5">
      <c r="A190" s="33" t="s">
        <v>223</v>
      </c>
      <c r="B190" s="34">
        <v>123753</v>
      </c>
      <c r="C190" s="34">
        <v>1275156</v>
      </c>
      <c r="D190" s="34">
        <f>C190-B190</f>
        <v>1151403</v>
      </c>
      <c r="E190" s="125">
        <v>92926</v>
      </c>
    </row>
    <row r="191" spans="1:5">
      <c r="A191" s="33" t="s">
        <v>222</v>
      </c>
      <c r="B191" s="34">
        <v>123862</v>
      </c>
      <c r="C191" s="34">
        <v>1315863</v>
      </c>
      <c r="D191" s="34">
        <f t="shared" si="7"/>
        <v>1192001</v>
      </c>
      <c r="E191" s="125">
        <v>78543</v>
      </c>
    </row>
    <row r="192" spans="1:5">
      <c r="A192" s="33" t="s">
        <v>224</v>
      </c>
      <c r="B192" s="34">
        <v>124405</v>
      </c>
      <c r="C192" s="34">
        <v>1295302</v>
      </c>
      <c r="D192" s="34">
        <f t="shared" si="7"/>
        <v>1170897</v>
      </c>
      <c r="E192" s="125">
        <v>73343</v>
      </c>
    </row>
    <row r="193" spans="1:5">
      <c r="A193" s="33" t="s">
        <v>225</v>
      </c>
      <c r="B193" s="34">
        <v>123752</v>
      </c>
      <c r="C193" s="34">
        <v>1353950</v>
      </c>
      <c r="D193" s="34">
        <f t="shared" ref="D193:D227" si="8">C193-B193</f>
        <v>1230198</v>
      </c>
      <c r="E193" s="125">
        <v>76601</v>
      </c>
    </row>
    <row r="194" spans="1:5">
      <c r="A194" s="33" t="s">
        <v>226</v>
      </c>
      <c r="B194" s="34">
        <v>124691</v>
      </c>
      <c r="C194" s="34">
        <v>1306741</v>
      </c>
      <c r="D194" s="34">
        <f t="shared" si="8"/>
        <v>1182050</v>
      </c>
      <c r="E194" s="125">
        <v>46293</v>
      </c>
    </row>
    <row r="195" spans="1:5">
      <c r="A195" s="33" t="s">
        <v>227</v>
      </c>
      <c r="B195" s="34">
        <v>126706</v>
      </c>
      <c r="C195" s="34">
        <v>1349109</v>
      </c>
      <c r="D195" s="34">
        <f t="shared" si="8"/>
        <v>1222403</v>
      </c>
      <c r="E195" s="125">
        <v>57473</v>
      </c>
    </row>
    <row r="196" spans="1:5">
      <c r="A196" s="33" t="s">
        <v>235</v>
      </c>
      <c r="B196" s="34">
        <v>126663</v>
      </c>
      <c r="C196" s="34">
        <v>1368986</v>
      </c>
      <c r="D196" s="34">
        <f t="shared" si="8"/>
        <v>1242323</v>
      </c>
      <c r="E196" s="125">
        <f>86726-15293</f>
        <v>71433</v>
      </c>
    </row>
    <row r="197" spans="1:5">
      <c r="A197" s="33" t="s">
        <v>243</v>
      </c>
      <c r="B197" s="34">
        <v>126771</v>
      </c>
      <c r="C197" s="34">
        <v>1379364</v>
      </c>
      <c r="D197" s="34">
        <f t="shared" si="8"/>
        <v>1252593</v>
      </c>
      <c r="E197" s="125">
        <f>-15297+97543</f>
        <v>82246</v>
      </c>
    </row>
    <row r="198" spans="1:5">
      <c r="A198" s="33" t="s">
        <v>250</v>
      </c>
      <c r="B198" s="34">
        <v>127361</v>
      </c>
      <c r="C198" s="34">
        <v>1332131</v>
      </c>
      <c r="D198" s="34">
        <f t="shared" si="8"/>
        <v>1204770</v>
      </c>
      <c r="E198" s="125">
        <f>-15487+85883</f>
        <v>70396</v>
      </c>
    </row>
    <row r="199" spans="1:5">
      <c r="A199" s="33" t="s">
        <v>258</v>
      </c>
      <c r="B199" s="34">
        <v>127892</v>
      </c>
      <c r="C199" s="34">
        <v>1364822</v>
      </c>
      <c r="D199" s="34">
        <f t="shared" si="8"/>
        <v>1236930</v>
      </c>
      <c r="E199" s="125">
        <v>57777</v>
      </c>
    </row>
    <row r="200" spans="1:5">
      <c r="A200" s="33" t="s">
        <v>263</v>
      </c>
      <c r="B200" s="34">
        <v>128441</v>
      </c>
      <c r="C200" s="34">
        <v>1379025</v>
      </c>
      <c r="D200" s="34">
        <f t="shared" si="8"/>
        <v>1250584</v>
      </c>
      <c r="E200" s="125">
        <f>78427-15482</f>
        <v>62945</v>
      </c>
    </row>
    <row r="201" spans="1:5">
      <c r="A201" s="33" t="s">
        <v>270</v>
      </c>
      <c r="B201" s="34">
        <v>128836</v>
      </c>
      <c r="C201" s="34">
        <v>1404626</v>
      </c>
      <c r="D201" s="34">
        <f t="shared" si="8"/>
        <v>1275790</v>
      </c>
      <c r="E201" s="125">
        <f>-15581+79327</f>
        <v>63746</v>
      </c>
    </row>
    <row r="202" spans="1:5">
      <c r="A202" s="33" t="s">
        <v>278</v>
      </c>
      <c r="B202" s="34">
        <v>131458</v>
      </c>
      <c r="C202" s="34">
        <v>1335710</v>
      </c>
      <c r="D202" s="34">
        <f t="shared" si="8"/>
        <v>1204252</v>
      </c>
      <c r="E202" s="125">
        <f>-15829+69552</f>
        <v>53723</v>
      </c>
    </row>
    <row r="203" spans="1:5">
      <c r="A203" s="33" t="s">
        <v>287</v>
      </c>
      <c r="B203" s="34">
        <v>132047</v>
      </c>
      <c r="C203" s="34">
        <v>1331531</v>
      </c>
      <c r="D203" s="34">
        <f t="shared" si="8"/>
        <v>1199484</v>
      </c>
      <c r="E203" s="125">
        <f>-15928+73795</f>
        <v>57867</v>
      </c>
    </row>
    <row r="204" spans="1:5">
      <c r="A204" s="33" t="s">
        <v>294</v>
      </c>
      <c r="B204" s="34">
        <v>133215</v>
      </c>
      <c r="C204" s="34">
        <v>1388478</v>
      </c>
      <c r="D204" s="34">
        <f t="shared" si="8"/>
        <v>1255263</v>
      </c>
      <c r="E204" s="125">
        <f>-16089+74066</f>
        <v>57977</v>
      </c>
    </row>
    <row r="205" spans="1:5">
      <c r="A205" s="33" t="s">
        <v>306</v>
      </c>
      <c r="B205" s="34">
        <v>134135</v>
      </c>
      <c r="C205" s="34">
        <v>1662132</v>
      </c>
      <c r="D205" s="34">
        <f t="shared" si="8"/>
        <v>1527997</v>
      </c>
      <c r="E205" s="125">
        <f>-16276+127795</f>
        <v>111519</v>
      </c>
    </row>
    <row r="206" spans="1:5">
      <c r="A206" s="33" t="s">
        <v>313</v>
      </c>
      <c r="B206" s="34">
        <v>134476</v>
      </c>
      <c r="C206" s="34">
        <v>1623712</v>
      </c>
      <c r="D206" s="34">
        <f t="shared" si="8"/>
        <v>1489236</v>
      </c>
      <c r="E206" s="125">
        <f>-16415+123511</f>
        <v>107096</v>
      </c>
    </row>
    <row r="207" spans="1:5">
      <c r="A207" s="33" t="s">
        <v>320</v>
      </c>
      <c r="B207" s="34">
        <v>135652</v>
      </c>
      <c r="C207" s="34">
        <v>1642348</v>
      </c>
      <c r="D207" s="34">
        <f t="shared" si="8"/>
        <v>1506696</v>
      </c>
      <c r="E207" s="125">
        <f>-16560+128409</f>
        <v>111849</v>
      </c>
    </row>
    <row r="208" spans="1:5">
      <c r="A208" s="33" t="s">
        <v>328</v>
      </c>
      <c r="B208" s="34">
        <v>135703</v>
      </c>
      <c r="C208" s="34">
        <v>1820198</v>
      </c>
      <c r="D208" s="34">
        <f t="shared" si="8"/>
        <v>1684495</v>
      </c>
      <c r="E208" s="125">
        <f>-16323+128706</f>
        <v>112383</v>
      </c>
    </row>
    <row r="209" spans="1:5">
      <c r="A209" s="33" t="s">
        <v>334</v>
      </c>
      <c r="B209" s="34">
        <v>139395</v>
      </c>
      <c r="C209" s="34">
        <v>1966527</v>
      </c>
      <c r="D209" s="34">
        <f t="shared" si="8"/>
        <v>1827132</v>
      </c>
      <c r="E209" s="125">
        <f>-16593+133608</f>
        <v>117015</v>
      </c>
    </row>
    <row r="210" spans="1:5">
      <c r="A210" s="33" t="s">
        <v>341</v>
      </c>
      <c r="B210" s="34">
        <v>141186</v>
      </c>
      <c r="C210" s="34">
        <v>2345878</v>
      </c>
      <c r="D210" s="34">
        <f t="shared" si="8"/>
        <v>2204692</v>
      </c>
      <c r="E210" s="125">
        <f>-16698+150459</f>
        <v>133761</v>
      </c>
    </row>
    <row r="211" spans="1:5">
      <c r="A211" s="33" t="s">
        <v>350</v>
      </c>
      <c r="B211" s="34">
        <v>142384</v>
      </c>
      <c r="C211" s="34">
        <v>2625680</v>
      </c>
      <c r="D211" s="34">
        <f t="shared" si="8"/>
        <v>2483296</v>
      </c>
      <c r="E211" s="125">
        <f>-16923+182908</f>
        <v>165985</v>
      </c>
    </row>
    <row r="212" spans="1:5">
      <c r="A212" s="33" t="s">
        <v>358</v>
      </c>
      <c r="B212" s="34">
        <v>143568</v>
      </c>
      <c r="C212" s="34">
        <v>2797019</v>
      </c>
      <c r="D212" s="34">
        <f t="shared" si="8"/>
        <v>2653451</v>
      </c>
      <c r="E212" s="125">
        <f>-17306+204026</f>
        <v>186720</v>
      </c>
    </row>
    <row r="213" spans="1:5">
      <c r="A213" s="33" t="s">
        <v>364</v>
      </c>
      <c r="B213" s="34">
        <v>144013</v>
      </c>
      <c r="C213" s="34">
        <v>2960731</v>
      </c>
      <c r="D213" s="34">
        <f t="shared" si="8"/>
        <v>2816718</v>
      </c>
      <c r="E213" s="125">
        <f>242049-17419</f>
        <v>224630</v>
      </c>
    </row>
    <row r="214" spans="1:5">
      <c r="A214" s="33" t="s">
        <v>365</v>
      </c>
      <c r="B214" s="34">
        <v>145544</v>
      </c>
      <c r="C214" s="34">
        <v>3067120</v>
      </c>
      <c r="D214" s="34">
        <f t="shared" si="8"/>
        <v>2921576</v>
      </c>
      <c r="E214" s="125">
        <f>-17864+256694</f>
        <v>238830</v>
      </c>
    </row>
    <row r="215" spans="1:5">
      <c r="A215" s="33" t="s">
        <v>366</v>
      </c>
      <c r="B215" s="34">
        <v>146471</v>
      </c>
      <c r="C215" s="34">
        <v>3157714</v>
      </c>
      <c r="D215" s="34">
        <f t="shared" si="8"/>
        <v>3011243</v>
      </c>
      <c r="E215" s="125">
        <f>-17823+263473</f>
        <v>245650</v>
      </c>
    </row>
    <row r="216" spans="1:5">
      <c r="A216" s="33" t="s">
        <v>367</v>
      </c>
      <c r="B216" s="34">
        <v>147445</v>
      </c>
      <c r="C216" s="34">
        <v>3421061</v>
      </c>
      <c r="D216" s="34">
        <f t="shared" si="8"/>
        <v>3273616</v>
      </c>
      <c r="E216" s="125">
        <f>-18117+295432</f>
        <v>277315</v>
      </c>
    </row>
    <row r="217" spans="1:5">
      <c r="A217" s="33" t="s">
        <v>368</v>
      </c>
      <c r="B217" s="34">
        <v>147737</v>
      </c>
      <c r="C217" s="34">
        <v>3591664</v>
      </c>
      <c r="D217" s="34">
        <f t="shared" si="8"/>
        <v>3443927</v>
      </c>
      <c r="E217" s="125">
        <f>321026-18137</f>
        <v>302889</v>
      </c>
    </row>
    <row r="218" spans="1:5">
      <c r="A218" s="33" t="s">
        <v>369</v>
      </c>
      <c r="B218" s="34">
        <v>150204</v>
      </c>
      <c r="C218" s="34">
        <v>3653108</v>
      </c>
      <c r="D218" s="34">
        <f t="shared" si="8"/>
        <v>3502904</v>
      </c>
      <c r="E218" s="125">
        <f>318690-18277</f>
        <v>300413</v>
      </c>
    </row>
    <row r="219" spans="1:5">
      <c r="A219" s="33" t="s">
        <v>370</v>
      </c>
      <c r="B219" s="34">
        <v>150929</v>
      </c>
      <c r="C219" s="34">
        <v>3726185</v>
      </c>
      <c r="D219" s="34">
        <f t="shared" si="8"/>
        <v>3575256</v>
      </c>
      <c r="E219" s="125">
        <f>329717-18359</f>
        <v>311358</v>
      </c>
    </row>
    <row r="220" spans="1:5">
      <c r="A220" s="33" t="s">
        <v>371</v>
      </c>
      <c r="B220" s="34">
        <v>152822</v>
      </c>
      <c r="C220" s="34">
        <v>3806481</v>
      </c>
      <c r="D220" s="34">
        <f t="shared" si="8"/>
        <v>3653659</v>
      </c>
      <c r="E220" s="125">
        <f>-18698+327017</f>
        <v>308319</v>
      </c>
    </row>
    <row r="221" spans="1:5">
      <c r="A221" s="33" t="s">
        <v>372</v>
      </c>
      <c r="B221" s="34">
        <v>154236</v>
      </c>
      <c r="C221" s="34">
        <v>3843316</v>
      </c>
      <c r="D221" s="34">
        <f t="shared" si="8"/>
        <v>3689080</v>
      </c>
      <c r="E221" s="125">
        <f>329833-18530</f>
        <v>311303</v>
      </c>
    </row>
    <row r="222" spans="1:5">
      <c r="A222" s="33" t="s">
        <v>373</v>
      </c>
      <c r="B222" s="34">
        <v>155409</v>
      </c>
      <c r="C222" s="34">
        <v>3812329</v>
      </c>
      <c r="D222" s="34">
        <f t="shared" si="8"/>
        <v>3656920</v>
      </c>
      <c r="E222" s="125">
        <f>-18863+327248</f>
        <v>308385</v>
      </c>
    </row>
    <row r="223" spans="1:5">
      <c r="A223" s="33" t="s">
        <v>374</v>
      </c>
      <c r="B223" s="34">
        <v>153957</v>
      </c>
      <c r="C223" s="34">
        <v>3832283</v>
      </c>
      <c r="D223" s="34">
        <f t="shared" si="8"/>
        <v>3678326</v>
      </c>
      <c r="E223" s="125">
        <f>328479-19185</f>
        <v>309294</v>
      </c>
    </row>
    <row r="224" spans="1:5">
      <c r="A224" s="33" t="s">
        <v>375</v>
      </c>
      <c r="B224" s="34">
        <v>156792</v>
      </c>
      <c r="C224" s="34">
        <v>3927312</v>
      </c>
      <c r="D224" s="34">
        <f t="shared" si="8"/>
        <v>3770520</v>
      </c>
      <c r="E224" s="125">
        <f>316855-18868</f>
        <v>297987</v>
      </c>
    </row>
    <row r="225" spans="1:5">
      <c r="A225" s="33" t="s">
        <v>376</v>
      </c>
      <c r="B225" s="34">
        <v>157772</v>
      </c>
      <c r="C225" s="34">
        <v>4046093</v>
      </c>
      <c r="D225" s="34">
        <f t="shared" si="8"/>
        <v>3888321</v>
      </c>
      <c r="E225" s="125">
        <f>-18886+319490</f>
        <v>300604</v>
      </c>
    </row>
    <row r="226" spans="1:5">
      <c r="A226" s="33" t="s">
        <v>377</v>
      </c>
      <c r="B226" s="34">
        <v>160858</v>
      </c>
      <c r="C226" s="34">
        <v>3943319</v>
      </c>
      <c r="D226" s="34">
        <f t="shared" si="8"/>
        <v>3782461</v>
      </c>
      <c r="E226" s="125">
        <f>-19288+288400</f>
        <v>269112</v>
      </c>
    </row>
    <row r="227" spans="1:5">
      <c r="A227" s="33" t="s">
        <v>378</v>
      </c>
      <c r="B227" s="34">
        <v>161395</v>
      </c>
      <c r="C227" s="34">
        <v>3935920</v>
      </c>
      <c r="D227" s="34">
        <f t="shared" si="8"/>
        <v>3774525</v>
      </c>
      <c r="E227" s="125">
        <f>-19210+315091</f>
        <v>295881</v>
      </c>
    </row>
    <row r="228" spans="1:5">
      <c r="A228" s="33" t="s">
        <v>379</v>
      </c>
      <c r="B228" s="34">
        <v>164350</v>
      </c>
      <c r="C228" s="34">
        <v>331921</v>
      </c>
      <c r="D228" s="34">
        <f t="shared" ref="D228:D238" si="9">C228-B228</f>
        <v>167571</v>
      </c>
      <c r="E228" s="125">
        <v>5567</v>
      </c>
    </row>
    <row r="229" spans="1:5">
      <c r="A229" s="33" t="s">
        <v>380</v>
      </c>
      <c r="B229" s="34">
        <v>167187</v>
      </c>
      <c r="C229" s="34">
        <v>213771</v>
      </c>
      <c r="D229" s="34">
        <f t="shared" si="9"/>
        <v>46584</v>
      </c>
      <c r="E229" s="125">
        <v>2033</v>
      </c>
    </row>
    <row r="230" spans="1:5">
      <c r="A230" s="33" t="s">
        <v>381</v>
      </c>
      <c r="B230" s="34">
        <v>168086</v>
      </c>
      <c r="C230" s="34">
        <v>195769</v>
      </c>
      <c r="D230" s="34">
        <f t="shared" si="9"/>
        <v>27683</v>
      </c>
      <c r="E230" s="125">
        <f>20837-19020</f>
        <v>1817</v>
      </c>
    </row>
    <row r="231" spans="1:5">
      <c r="A231" s="33" t="s">
        <v>382</v>
      </c>
      <c r="B231" s="34">
        <v>164638</v>
      </c>
      <c r="C231" s="34">
        <v>191068</v>
      </c>
      <c r="D231" s="34">
        <f t="shared" si="9"/>
        <v>26430</v>
      </c>
      <c r="E231" s="125">
        <f>-19116+20522</f>
        <v>1406</v>
      </c>
    </row>
    <row r="232" spans="1:5">
      <c r="A232" s="33" t="s">
        <v>383</v>
      </c>
      <c r="B232" s="34">
        <v>165827</v>
      </c>
      <c r="C232" s="34">
        <v>182797</v>
      </c>
      <c r="D232" s="34">
        <f t="shared" si="9"/>
        <v>16970</v>
      </c>
      <c r="E232" s="125">
        <f>-18587+19602</f>
        <v>1015</v>
      </c>
    </row>
    <row r="233" spans="1:5">
      <c r="A233" s="33" t="s">
        <v>384</v>
      </c>
      <c r="B233" s="34">
        <v>164799</v>
      </c>
      <c r="C233" s="34">
        <v>181611</v>
      </c>
      <c r="D233" s="34">
        <f t="shared" si="9"/>
        <v>16812</v>
      </c>
      <c r="E233" s="125">
        <f>-18434+19251</f>
        <v>817</v>
      </c>
    </row>
    <row r="234" spans="1:5">
      <c r="A234" s="33" t="s">
        <v>385</v>
      </c>
      <c r="B234" s="34">
        <v>165143</v>
      </c>
      <c r="C234" s="34">
        <v>177429</v>
      </c>
      <c r="D234" s="34">
        <f t="shared" si="9"/>
        <v>12286</v>
      </c>
      <c r="E234" s="125">
        <f>19279-18633</f>
        <v>646</v>
      </c>
    </row>
    <row r="235" spans="1:5">
      <c r="A235" s="33" t="s">
        <v>386</v>
      </c>
      <c r="B235" s="34">
        <v>165296</v>
      </c>
      <c r="C235" s="34">
        <v>174322</v>
      </c>
      <c r="D235" s="34">
        <f t="shared" si="9"/>
        <v>9026</v>
      </c>
      <c r="E235" s="125">
        <v>498</v>
      </c>
    </row>
    <row r="236" spans="1:5">
      <c r="A236" s="33" t="s">
        <v>387</v>
      </c>
      <c r="B236" s="34">
        <v>164548</v>
      </c>
      <c r="C236" s="34">
        <v>174560</v>
      </c>
      <c r="D236" s="34">
        <f t="shared" si="9"/>
        <v>10012</v>
      </c>
      <c r="E236" s="125">
        <v>510</v>
      </c>
    </row>
    <row r="237" spans="1:5">
      <c r="A237" s="33" t="s">
        <v>388</v>
      </c>
      <c r="B237" s="34">
        <v>163886</v>
      </c>
      <c r="C237" s="34">
        <v>171991</v>
      </c>
      <c r="D237" s="34">
        <f t="shared" si="9"/>
        <v>8105</v>
      </c>
      <c r="E237" s="125">
        <f>-18454+18962</f>
        <v>508</v>
      </c>
    </row>
    <row r="238" spans="1:5">
      <c r="A238" s="33" t="s">
        <v>389</v>
      </c>
      <c r="B238" s="34">
        <v>162283</v>
      </c>
      <c r="C238" s="34">
        <v>170457</v>
      </c>
      <c r="D238" s="34">
        <f t="shared" si="9"/>
        <v>8174</v>
      </c>
      <c r="E238" s="125">
        <f>18687-18170</f>
        <v>517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B1:IU65518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9" sqref="H19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128441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43537</v>
      </c>
      <c r="C7" s="14" t="str">
        <f t="shared" ref="C7:C41" si="0">IF(OR(WEEKDAY(B7)=1,WEEKDAY(B7)=7),"F","")</f>
        <v/>
      </c>
      <c r="D7" s="87">
        <f>-5769+6093</f>
        <v>324</v>
      </c>
      <c r="E7" s="128">
        <v>1</v>
      </c>
      <c r="F7" s="162">
        <v>-603779</v>
      </c>
      <c r="G7" s="26">
        <f>D7+E7+F7-G46-G47</f>
        <v>45197</v>
      </c>
      <c r="H7" s="132">
        <v>600</v>
      </c>
      <c r="I7" s="63">
        <v>2000</v>
      </c>
      <c r="J7" s="63">
        <v>100</v>
      </c>
      <c r="K7" s="168">
        <f>+H7+I7+J7</f>
        <v>2700</v>
      </c>
      <c r="L7" s="169">
        <v>5</v>
      </c>
      <c r="M7" s="153"/>
      <c r="N7" s="149">
        <f>L7+K7+G7+M7</f>
        <v>47902</v>
      </c>
      <c r="O7" s="67">
        <f t="shared" ref="O7:O41" si="1">P7/T7</f>
        <v>1288969.8499999999</v>
      </c>
      <c r="P7" s="163">
        <f>(+$Q7-$Q$3)</f>
        <v>1288969.8499999999</v>
      </c>
      <c r="Q7" s="164">
        <f>G45+N7-8</f>
        <v>1417410.8499999999</v>
      </c>
      <c r="R7" s="29">
        <f t="shared" ref="R7:R41" si="2">$S7/$Q$3*100</f>
        <v>1103.5501514313964</v>
      </c>
      <c r="S7" s="165">
        <f>$Q7</f>
        <v>1417410.8499999999</v>
      </c>
      <c r="T7" s="166">
        <v>1</v>
      </c>
      <c r="U7" s="138">
        <f>B7</f>
        <v>43537</v>
      </c>
      <c r="V7" s="131" t="s">
        <v>257</v>
      </c>
      <c r="W7" s="105">
        <v>-1292484</v>
      </c>
      <c r="X7" s="167">
        <f>AVERAGE(W7:W15)</f>
        <v>-1263761.111111111</v>
      </c>
      <c r="Y7" s="156">
        <f>-L7-K7+'Feb 2019'!Y48-1</f>
        <v>-1292484</v>
      </c>
      <c r="Z7" s="217">
        <f>AVERAGE(Y7:Y13)</f>
        <v>-1270863.4285714286</v>
      </c>
      <c r="AA7" s="92"/>
    </row>
    <row r="8" spans="2:255">
      <c r="B8" s="116">
        <v>43538</v>
      </c>
      <c r="C8" s="14"/>
      <c r="D8" s="128"/>
      <c r="E8" s="128">
        <v>3</v>
      </c>
      <c r="F8" s="162">
        <v>-610791</v>
      </c>
      <c r="G8" s="26">
        <f>D8+E8+F8-E7-F7</f>
        <v>-7010</v>
      </c>
      <c r="H8" s="132">
        <v>600</v>
      </c>
      <c r="I8" s="63">
        <v>-4900</v>
      </c>
      <c r="J8" s="63">
        <v>100</v>
      </c>
      <c r="K8" s="170">
        <f t="shared" ref="K8:K41" si="3">+H8+I8+J8</f>
        <v>-4200</v>
      </c>
      <c r="L8" s="171">
        <v>-32</v>
      </c>
      <c r="M8" s="153"/>
      <c r="N8" s="149">
        <f>L8+K8+G8+M8</f>
        <v>-11242</v>
      </c>
      <c r="O8" s="67">
        <f t="shared" si="1"/>
        <v>638866.92499999993</v>
      </c>
      <c r="P8" s="163">
        <f>(IF($Q8&lt;0,-$Q$3+P6,($Q8-$Q$3)+P6))</f>
        <v>1277733.8499999999</v>
      </c>
      <c r="Q8" s="164">
        <f>Q7+N8+1+5</f>
        <v>1406174.8499999999</v>
      </c>
      <c r="R8" s="29">
        <f t="shared" si="2"/>
        <v>1099.176937270809</v>
      </c>
      <c r="S8" s="165">
        <f>SUM($Q$7:$Q8)/T8+1</f>
        <v>1411793.8499999999</v>
      </c>
      <c r="T8" s="166">
        <v>2</v>
      </c>
      <c r="U8" s="138">
        <f>B7+8</f>
        <v>43545</v>
      </c>
      <c r="V8" s="131">
        <v>1368.9</v>
      </c>
      <c r="W8" s="105">
        <v>-1288251</v>
      </c>
      <c r="X8" s="167"/>
      <c r="Y8" s="156">
        <f>Y7-K8-L8+1</f>
        <v>-1288251</v>
      </c>
      <c r="Z8" s="217"/>
      <c r="AA8" s="92"/>
    </row>
    <row r="9" spans="2:255">
      <c r="B9" s="116">
        <v>43539</v>
      </c>
      <c r="C9" s="14" t="str">
        <f t="shared" si="0"/>
        <v/>
      </c>
      <c r="D9" s="87"/>
      <c r="E9" s="87">
        <v>1</v>
      </c>
      <c r="F9" s="23">
        <v>-591502</v>
      </c>
      <c r="G9" s="26">
        <f>D9+E9+F9-E8-F8</f>
        <v>19287</v>
      </c>
      <c r="H9" s="132">
        <v>-4700</v>
      </c>
      <c r="I9" s="63">
        <v>-17200</v>
      </c>
      <c r="J9" s="63">
        <v>-100</v>
      </c>
      <c r="K9" s="170">
        <f t="shared" si="3"/>
        <v>-22000</v>
      </c>
      <c r="L9" s="171">
        <v>-13</v>
      </c>
      <c r="M9" s="153"/>
      <c r="N9" s="149">
        <f>L9+K9+G9+M9</f>
        <v>-2726</v>
      </c>
      <c r="O9" s="67">
        <f t="shared" si="1"/>
        <v>854659.56666666653</v>
      </c>
      <c r="P9" s="7">
        <f>(IF($Q9&lt;0,-$Q$3+P7,($Q9-$Q$3)+P7))</f>
        <v>2563978.6999999997</v>
      </c>
      <c r="Q9" s="164">
        <f>Q8+N9+1</f>
        <v>1403449.8499999999</v>
      </c>
      <c r="R9" s="29">
        <f t="shared" si="2"/>
        <v>1097.0117407992775</v>
      </c>
      <c r="S9" s="5">
        <f>SUM($Q$7:$Q9)/T9+1</f>
        <v>1409012.8499999999</v>
      </c>
      <c r="T9" s="17">
        <v>3</v>
      </c>
      <c r="U9" s="4"/>
      <c r="V9" s="131"/>
      <c r="W9" s="105">
        <v>-1266237</v>
      </c>
      <c r="X9" s="167"/>
      <c r="Y9" s="156">
        <f>Y8-K9-L9+1</f>
        <v>-1266237</v>
      </c>
      <c r="Z9" s="217"/>
      <c r="AA9" s="92"/>
    </row>
    <row r="10" spans="2:255">
      <c r="B10" s="116">
        <v>43540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959746.88749999995</v>
      </c>
      <c r="P10" s="7">
        <f t="shared" ref="P10:P41" si="4">(IF($Q10&lt;0,-$Q$3+P9,($Q10-$Q$3)+P9))</f>
        <v>3838987.55</v>
      </c>
      <c r="Q10" s="164">
        <f t="shared" ref="Q10:Q39" si="5">Q9+N10</f>
        <v>1403449.8499999999</v>
      </c>
      <c r="R10" s="29">
        <f t="shared" si="2"/>
        <v>1095.9275854283289</v>
      </c>
      <c r="S10" s="5">
        <f>SUM($Q$7:$Q10)/T10-1</f>
        <v>1407620.3499999999</v>
      </c>
      <c r="T10" s="17">
        <v>4</v>
      </c>
      <c r="U10" s="27"/>
      <c r="V10" s="133"/>
      <c r="W10" s="105">
        <v>-1266237</v>
      </c>
      <c r="X10" s="167"/>
      <c r="Y10" s="156">
        <f>Y9-K10-L10</f>
        <v>-1266237</v>
      </c>
      <c r="Z10" s="217"/>
      <c r="AA10" s="92"/>
    </row>
    <row r="11" spans="2:255">
      <c r="B11" s="116">
        <v>43541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0" si="6">L11+K11+G11+M11</f>
        <v>0</v>
      </c>
      <c r="O11" s="67">
        <f t="shared" si="1"/>
        <v>1022799.2799999999</v>
      </c>
      <c r="P11" s="7">
        <f t="shared" si="4"/>
        <v>5113996.3999999994</v>
      </c>
      <c r="Q11" s="164">
        <f t="shared" si="5"/>
        <v>1403449.8499999999</v>
      </c>
      <c r="R11" s="29">
        <f t="shared" si="2"/>
        <v>1095.2788050544607</v>
      </c>
      <c r="S11" s="5">
        <f>SUM($Q$7:$Q11)/T11</f>
        <v>1406787.0499999998</v>
      </c>
      <c r="T11" s="17">
        <v>5</v>
      </c>
      <c r="U11" s="27"/>
      <c r="V11" s="134"/>
      <c r="W11" s="105">
        <v>-1266237</v>
      </c>
      <c r="X11" s="167"/>
      <c r="Y11" s="156">
        <f t="shared" ref="Y11:Y39" si="7">Y10-K11-L11</f>
        <v>-1266237</v>
      </c>
      <c r="Z11" s="217"/>
      <c r="AA11" s="92"/>
    </row>
    <row r="12" spans="2:255">
      <c r="B12" s="116">
        <v>43542</v>
      </c>
      <c r="C12" s="14" t="str">
        <f t="shared" si="0"/>
        <v/>
      </c>
      <c r="D12" s="87"/>
      <c r="E12" s="161">
        <v>5</v>
      </c>
      <c r="F12" s="23">
        <v>-614491</v>
      </c>
      <c r="G12" s="26">
        <f>D12+E12+F12-E9-F9</f>
        <v>-22985</v>
      </c>
      <c r="H12" s="132">
        <v>700</v>
      </c>
      <c r="I12" s="63">
        <v>-4900</v>
      </c>
      <c r="J12" s="63">
        <v>200</v>
      </c>
      <c r="K12" s="170">
        <f t="shared" si="3"/>
        <v>-4000</v>
      </c>
      <c r="L12" s="171">
        <v>-25</v>
      </c>
      <c r="M12" s="153"/>
      <c r="N12" s="149">
        <f t="shared" si="6"/>
        <v>-27010</v>
      </c>
      <c r="O12" s="67">
        <f t="shared" si="1"/>
        <v>1060332.5416666665</v>
      </c>
      <c r="P12" s="7">
        <f t="shared" si="4"/>
        <v>6361995.2499999991</v>
      </c>
      <c r="Q12" s="164">
        <f>Q11+N12</f>
        <v>1376439.8499999999</v>
      </c>
      <c r="R12" s="29">
        <f t="shared" si="2"/>
        <v>1091.3409139864477</v>
      </c>
      <c r="S12" s="5">
        <f>SUM($Q$7:$Q12)/T12</f>
        <v>1401729.1833333333</v>
      </c>
      <c r="T12" s="17">
        <v>6</v>
      </c>
      <c r="U12" s="138">
        <f>B12</f>
        <v>43542</v>
      </c>
      <c r="V12" s="131" t="s">
        <v>259</v>
      </c>
      <c r="W12" s="105">
        <v>-1262211</v>
      </c>
      <c r="X12" s="167">
        <f>AVERAGE(W12:W20)</f>
        <v>-1244273.2222222222</v>
      </c>
      <c r="Y12" s="156">
        <f>Y11-K12-L12+1</f>
        <v>-1262211</v>
      </c>
      <c r="Z12" s="217">
        <f>AVERAGE(Y12:Y20)</f>
        <v>-1244273.2222222222</v>
      </c>
      <c r="AA12" s="92"/>
    </row>
    <row r="13" spans="2:255">
      <c r="B13" s="116">
        <v>43543</v>
      </c>
      <c r="C13" s="14"/>
      <c r="D13" s="87"/>
      <c r="E13" s="87">
        <v>12</v>
      </c>
      <c r="F13" s="23">
        <v>-617722</v>
      </c>
      <c r="G13" s="26">
        <f>D13+E13+F13-E12-F12</f>
        <v>-3224</v>
      </c>
      <c r="H13" s="132">
        <v>200</v>
      </c>
      <c r="I13" s="63">
        <v>-8200</v>
      </c>
      <c r="J13" s="63">
        <v>200</v>
      </c>
      <c r="K13" s="170">
        <f t="shared" si="3"/>
        <v>-7800</v>
      </c>
      <c r="L13" s="171">
        <v>-24</v>
      </c>
      <c r="M13" s="153"/>
      <c r="N13" s="149">
        <f t="shared" si="6"/>
        <v>-11048</v>
      </c>
      <c r="O13" s="67">
        <f t="shared" si="1"/>
        <v>1085563.2999999998</v>
      </c>
      <c r="P13" s="7">
        <f>(IF($Q13&lt;0,-$Q$3+P12,($Q13-$Q$3)+P12))</f>
        <v>7598943.0999999987</v>
      </c>
      <c r="Q13" s="164">
        <f>Q12+N13-3</f>
        <v>1365388.8499999999</v>
      </c>
      <c r="R13" s="29">
        <f t="shared" si="2"/>
        <v>1087.2989988733013</v>
      </c>
      <c r="S13" s="5">
        <f>SUM($Q$7:$Q13)/T13</f>
        <v>1396537.7071428571</v>
      </c>
      <c r="T13" s="17">
        <v>7</v>
      </c>
      <c r="U13" s="138">
        <f>B14+6</f>
        <v>43550</v>
      </c>
      <c r="V13" s="249">
        <v>1394.8</v>
      </c>
      <c r="W13" s="105">
        <v>-1254387</v>
      </c>
      <c r="X13" s="167"/>
      <c r="Y13" s="156">
        <f>Y12-K13-L13</f>
        <v>-1254387</v>
      </c>
      <c r="Z13" s="217"/>
      <c r="AA13" s="92"/>
      <c r="AB13" s="92"/>
    </row>
    <row r="14" spans="2:255">
      <c r="B14" s="116">
        <v>43544</v>
      </c>
      <c r="C14" s="14"/>
      <c r="D14" s="87">
        <f>-6093+5621.4</f>
        <v>-471.60000000000036</v>
      </c>
      <c r="E14" s="87">
        <v>0</v>
      </c>
      <c r="F14" s="23">
        <v>-616553</v>
      </c>
      <c r="G14" s="26">
        <f>D14+E14+F14-E13-F13</f>
        <v>685.40000000002328</v>
      </c>
      <c r="H14" s="132">
        <v>-5300</v>
      </c>
      <c r="I14" s="63">
        <v>-7500</v>
      </c>
      <c r="J14" s="63">
        <v>200</v>
      </c>
      <c r="K14" s="170">
        <f t="shared" si="3"/>
        <v>-12600</v>
      </c>
      <c r="L14" s="171">
        <v>4</v>
      </c>
      <c r="M14" s="154"/>
      <c r="N14" s="149">
        <f>L14+K14+G14+M14</f>
        <v>-11910.599999999977</v>
      </c>
      <c r="O14" s="67">
        <f t="shared" si="1"/>
        <v>1102997.7937499997</v>
      </c>
      <c r="P14" s="7">
        <f t="shared" si="4"/>
        <v>8823982.3499999978</v>
      </c>
      <c r="Q14" s="164">
        <f>Q13+N14+2</f>
        <v>1353480.25</v>
      </c>
      <c r="R14" s="29">
        <f t="shared" si="2"/>
        <v>1083.109384853746</v>
      </c>
      <c r="S14" s="5">
        <f>SUM($Q$7:$Q14)/T14+1</f>
        <v>1391156.5249999999</v>
      </c>
      <c r="T14" s="17">
        <v>8</v>
      </c>
      <c r="U14" s="4"/>
      <c r="V14" s="4"/>
      <c r="W14" s="105">
        <v>-1241790</v>
      </c>
      <c r="X14" s="167"/>
      <c r="Y14" s="156">
        <f>Y13-K14-L14+1</f>
        <v>-1241790</v>
      </c>
      <c r="Z14" s="217"/>
      <c r="AA14" s="92"/>
    </row>
    <row r="15" spans="2:255">
      <c r="B15" s="116">
        <v>43545</v>
      </c>
      <c r="C15" s="14" t="str">
        <f t="shared" si="0"/>
        <v/>
      </c>
      <c r="D15" s="87"/>
      <c r="E15" s="87">
        <v>0</v>
      </c>
      <c r="F15" s="23">
        <v>-606966</v>
      </c>
      <c r="G15" s="26">
        <f>D15+E15+F15-E14-F14</f>
        <v>9587</v>
      </c>
      <c r="H15" s="132">
        <v>-14300</v>
      </c>
      <c r="I15" s="63">
        <v>8300</v>
      </c>
      <c r="J15" s="63">
        <v>200</v>
      </c>
      <c r="K15" s="170">
        <f t="shared" si="3"/>
        <v>-5800</v>
      </c>
      <c r="L15" s="172">
        <v>25</v>
      </c>
      <c r="M15" s="153"/>
      <c r="N15" s="149">
        <f>L15+K15+G15+M15</f>
        <v>3812</v>
      </c>
      <c r="O15" s="67">
        <f t="shared" si="1"/>
        <v>1116981.5111111109</v>
      </c>
      <c r="P15" s="7">
        <f t="shared" si="4"/>
        <v>10052833.599999998</v>
      </c>
      <c r="Q15" s="164">
        <f>Q14+N15</f>
        <v>1357292.25</v>
      </c>
      <c r="R15" s="29">
        <f t="shared" si="2"/>
        <v>1080.1791786803972</v>
      </c>
      <c r="S15" s="5">
        <f>SUM($Q$7:$Q15)/T15</f>
        <v>1387392.9388888888</v>
      </c>
      <c r="T15" s="17">
        <v>9</v>
      </c>
      <c r="U15" s="4"/>
      <c r="V15" s="4"/>
      <c r="W15" s="105">
        <v>-1236016</v>
      </c>
      <c r="X15" s="167"/>
      <c r="Y15" s="156">
        <f>Y14-K15-L15-1</f>
        <v>-1236016</v>
      </c>
      <c r="Z15" s="217"/>
      <c r="AA15" s="92"/>
      <c r="AB15" s="92"/>
    </row>
    <row r="16" spans="2:255" s="69" customFormat="1">
      <c r="B16" s="116">
        <v>43546</v>
      </c>
      <c r="C16" s="14" t="str">
        <f t="shared" si="0"/>
        <v/>
      </c>
      <c r="D16" s="129"/>
      <c r="E16" s="87">
        <v>0</v>
      </c>
      <c r="F16" s="23">
        <v>-620177</v>
      </c>
      <c r="G16" s="26">
        <f>D16+E16+F16-E15-F15</f>
        <v>-13211</v>
      </c>
      <c r="H16" s="132">
        <v>2200</v>
      </c>
      <c r="I16" s="63">
        <v>5100</v>
      </c>
      <c r="J16" s="63">
        <v>100</v>
      </c>
      <c r="K16" s="170">
        <f t="shared" si="3"/>
        <v>7400</v>
      </c>
      <c r="L16" s="172">
        <v>-50</v>
      </c>
      <c r="M16" s="153"/>
      <c r="N16" s="152">
        <f>L16+K16+G16+M16</f>
        <v>-5861</v>
      </c>
      <c r="O16" s="67">
        <f t="shared" si="1"/>
        <v>1127582.4849999999</v>
      </c>
      <c r="P16" s="70">
        <f t="shared" si="4"/>
        <v>11275824.849999998</v>
      </c>
      <c r="Q16" s="164">
        <f>Q15+N16+1</f>
        <v>1351432.25</v>
      </c>
      <c r="R16" s="71">
        <f t="shared" si="2"/>
        <v>1077.3793959872626</v>
      </c>
      <c r="S16" s="72">
        <f>SUM($Q$7:$Q16)/T16</f>
        <v>1383796.8699999999</v>
      </c>
      <c r="T16" s="73">
        <v>10</v>
      </c>
      <c r="U16" s="218"/>
      <c r="V16" s="133"/>
      <c r="W16" s="105">
        <v>-1243367</v>
      </c>
      <c r="X16" s="167"/>
      <c r="Y16" s="156">
        <f>Y15-K16-L16-1</f>
        <v>-1243367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43547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1136256.0090909088</v>
      </c>
      <c r="P17" s="7">
        <f t="shared" si="4"/>
        <v>12498816.099999998</v>
      </c>
      <c r="Q17" s="164">
        <f t="shared" si="5"/>
        <v>1351432.25</v>
      </c>
      <c r="R17" s="29">
        <f t="shared" si="2"/>
        <v>1075.0886646928798</v>
      </c>
      <c r="S17" s="5">
        <f>SUM($Q$7:$Q17)/T17</f>
        <v>1380854.6318181818</v>
      </c>
      <c r="T17" s="18">
        <v>11</v>
      </c>
      <c r="U17" s="27"/>
      <c r="V17" s="136"/>
      <c r="W17" s="105">
        <v>-1243367</v>
      </c>
      <c r="X17" s="167"/>
      <c r="Y17" s="156">
        <f t="shared" si="7"/>
        <v>-1243367</v>
      </c>
      <c r="Z17" s="217"/>
      <c r="AA17" s="92"/>
      <c r="AC17" s="92"/>
    </row>
    <row r="18" spans="2:31">
      <c r="B18" s="116">
        <v>43548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1143483.9458333331</v>
      </c>
      <c r="P18" s="7">
        <f t="shared" si="4"/>
        <v>13721807.349999998</v>
      </c>
      <c r="Q18" s="164">
        <f t="shared" si="5"/>
        <v>1351432.25</v>
      </c>
      <c r="R18" s="29">
        <f t="shared" si="2"/>
        <v>1073.1789433799695</v>
      </c>
      <c r="S18" s="5">
        <f>SUM($Q$7:$Q18)/T18-1</f>
        <v>1378401.7666666666</v>
      </c>
      <c r="T18" s="18">
        <v>12</v>
      </c>
      <c r="U18" s="27"/>
      <c r="V18" s="136"/>
      <c r="W18" s="105">
        <v>-1243367</v>
      </c>
      <c r="X18" s="167"/>
      <c r="Y18" s="156">
        <f t="shared" si="7"/>
        <v>-1243367</v>
      </c>
      <c r="Z18" s="217"/>
      <c r="AA18" s="92"/>
    </row>
    <row r="19" spans="2:31">
      <c r="B19" s="116">
        <v>43549</v>
      </c>
      <c r="C19" s="14" t="str">
        <f t="shared" si="0"/>
        <v/>
      </c>
      <c r="D19" s="87"/>
      <c r="E19" s="87">
        <v>0</v>
      </c>
      <c r="F19" s="23">
        <v>-611963</v>
      </c>
      <c r="G19" s="26">
        <f>D19+E19+F19-E16-F16</f>
        <v>8214</v>
      </c>
      <c r="H19" s="132">
        <v>-3500</v>
      </c>
      <c r="I19" s="25">
        <v>-900</v>
      </c>
      <c r="J19" s="63">
        <v>-700</v>
      </c>
      <c r="K19" s="170">
        <f t="shared" si="3"/>
        <v>-5100</v>
      </c>
      <c r="L19" s="171">
        <v>-8</v>
      </c>
      <c r="M19" s="153"/>
      <c r="N19" s="149">
        <f t="shared" si="6"/>
        <v>3106</v>
      </c>
      <c r="O19" s="67">
        <f t="shared" si="1"/>
        <v>1149838.8153846152</v>
      </c>
      <c r="P19" s="7">
        <f t="shared" si="4"/>
        <v>14947904.599999998</v>
      </c>
      <c r="Q19" s="164">
        <f>Q18+N19</f>
        <v>1354538.25</v>
      </c>
      <c r="R19" s="29">
        <f t="shared" si="2"/>
        <v>1071.7504804660387</v>
      </c>
      <c r="S19" s="5">
        <f>SUM($Q$7:$Q19)/T19</f>
        <v>1376567.0346153846</v>
      </c>
      <c r="T19" s="18">
        <v>13</v>
      </c>
      <c r="U19" s="138">
        <f>B19</f>
        <v>43549</v>
      </c>
      <c r="V19" s="131" t="s">
        <v>260</v>
      </c>
      <c r="W19" s="105">
        <v>-1238259</v>
      </c>
      <c r="X19" s="167">
        <f>AVERAGE(W19:W27)</f>
        <v>-1244018.2222222222</v>
      </c>
      <c r="Y19" s="156">
        <f t="shared" si="7"/>
        <v>-1238259</v>
      </c>
      <c r="Z19" s="217">
        <f>AVERAGE(Y19:Y27)</f>
        <v>-1243884.888888889</v>
      </c>
      <c r="AA19" s="92"/>
    </row>
    <row r="20" spans="2:31">
      <c r="B20" s="116">
        <v>43550</v>
      </c>
      <c r="C20" s="14"/>
      <c r="D20" s="87"/>
      <c r="E20" s="87">
        <v>0</v>
      </c>
      <c r="F20" s="23">
        <v>-616261</v>
      </c>
      <c r="G20" s="26">
        <f>D20+E20+F20-E19-F19</f>
        <v>-4298</v>
      </c>
      <c r="H20" s="132">
        <v>100</v>
      </c>
      <c r="I20" s="25">
        <v>-2000</v>
      </c>
      <c r="J20" s="63">
        <v>-700</v>
      </c>
      <c r="K20" s="170">
        <f t="shared" si="3"/>
        <v>-2600</v>
      </c>
      <c r="L20" s="171">
        <v>36</v>
      </c>
      <c r="M20" s="153"/>
      <c r="N20" s="149">
        <f t="shared" si="6"/>
        <v>-6862</v>
      </c>
      <c r="O20" s="67">
        <f t="shared" si="1"/>
        <v>1154795.7749999999</v>
      </c>
      <c r="P20" s="7">
        <f t="shared" si="4"/>
        <v>16167140.849999998</v>
      </c>
      <c r="Q20" s="164">
        <f>Q19+N20+1</f>
        <v>1347677.25</v>
      </c>
      <c r="R20" s="29">
        <f t="shared" si="2"/>
        <v>1070.1438626072893</v>
      </c>
      <c r="S20" s="5">
        <f>SUM($Q$7:$Q20)/T20</f>
        <v>1374503.4785714285</v>
      </c>
      <c r="T20" s="18">
        <v>14</v>
      </c>
      <c r="U20" s="138">
        <f>B19+8</f>
        <v>43557</v>
      </c>
      <c r="V20" s="131">
        <v>1379.2</v>
      </c>
      <c r="W20" s="105">
        <v>-1235695</v>
      </c>
      <c r="X20" s="167"/>
      <c r="Y20" s="156">
        <f>Y19-K20-L20</f>
        <v>-1235695</v>
      </c>
      <c r="Z20" s="217"/>
      <c r="AA20" s="92"/>
      <c r="AB20" s="92"/>
    </row>
    <row r="21" spans="2:31">
      <c r="B21" s="116">
        <v>43551</v>
      </c>
      <c r="C21" s="14" t="str">
        <f t="shared" si="0"/>
        <v/>
      </c>
      <c r="D21" s="87">
        <f>-5621.4-3445+6095</f>
        <v>-2971.3999999999996</v>
      </c>
      <c r="E21" s="87">
        <v>18</v>
      </c>
      <c r="F21" s="23">
        <v>-607331</v>
      </c>
      <c r="G21" s="26">
        <f>D21+E21+F21-E20-F20</f>
        <v>5976.5999999999767</v>
      </c>
      <c r="H21" s="132">
        <v>600</v>
      </c>
      <c r="I21" s="25">
        <v>-5400</v>
      </c>
      <c r="J21" s="63">
        <v>-700</v>
      </c>
      <c r="K21" s="170">
        <f t="shared" si="3"/>
        <v>-5500</v>
      </c>
      <c r="L21" s="171">
        <v>-15</v>
      </c>
      <c r="M21" s="153"/>
      <c r="N21" s="149">
        <f>L21+K21+G21+M21</f>
        <v>461.59999999997672</v>
      </c>
      <c r="O21" s="67">
        <f t="shared" si="1"/>
        <v>1159122.5133333332</v>
      </c>
      <c r="P21" s="7">
        <f t="shared" si="4"/>
        <v>17386837.699999999</v>
      </c>
      <c r="Q21" s="164">
        <f>Q20+N21-1</f>
        <v>1348137.85</v>
      </c>
      <c r="R21" s="29">
        <f t="shared" si="2"/>
        <v>1068.7753676785451</v>
      </c>
      <c r="S21" s="5">
        <f>SUM($Q$7:$Q21)/T21</f>
        <v>1372745.77</v>
      </c>
      <c r="T21" s="18">
        <v>15</v>
      </c>
      <c r="U21" s="4"/>
      <c r="V21" s="131"/>
      <c r="W21" s="105">
        <v>-1230182</v>
      </c>
      <c r="X21" s="167"/>
      <c r="Y21" s="156">
        <f>Y20-K21-L21-2</f>
        <v>-1230182</v>
      </c>
      <c r="Z21" s="217"/>
      <c r="AA21" s="92"/>
    </row>
    <row r="22" spans="2:31">
      <c r="B22" s="116">
        <v>43552</v>
      </c>
      <c r="C22" s="14" t="str">
        <f t="shared" si="0"/>
        <v/>
      </c>
      <c r="D22" s="87">
        <f>-1554+1072</f>
        <v>-482</v>
      </c>
      <c r="E22" s="87">
        <v>0</v>
      </c>
      <c r="F22" s="23">
        <v>-607204</v>
      </c>
      <c r="G22" s="26">
        <f>D22+E22+F22-E21-F21</f>
        <v>-373</v>
      </c>
      <c r="H22" s="132">
        <v>-2400</v>
      </c>
      <c r="I22" s="25">
        <v>13400</v>
      </c>
      <c r="J22" s="63">
        <v>-700</v>
      </c>
      <c r="K22" s="170">
        <f t="shared" si="3"/>
        <v>10300</v>
      </c>
      <c r="L22" s="171">
        <v>21</v>
      </c>
      <c r="M22" s="153"/>
      <c r="N22" s="149">
        <f>L22+K22+G22+M22</f>
        <v>9948</v>
      </c>
      <c r="O22" s="67">
        <f t="shared" si="1"/>
        <v>1163530.284375</v>
      </c>
      <c r="P22" s="7">
        <f t="shared" si="4"/>
        <v>18616484.550000001</v>
      </c>
      <c r="Q22" s="164">
        <f>Q21+N22+2</f>
        <v>1358087.85</v>
      </c>
      <c r="R22" s="29">
        <f t="shared" si="2"/>
        <v>1068.0613277691702</v>
      </c>
      <c r="S22" s="5">
        <f>SUM($Q$7:$Q22)/T22-1</f>
        <v>1371828.6500000001</v>
      </c>
      <c r="T22" s="18">
        <v>16</v>
      </c>
      <c r="U22" s="4"/>
      <c r="V22" s="131"/>
      <c r="W22" s="105">
        <v>-1240503</v>
      </c>
      <c r="X22" s="167"/>
      <c r="Y22" s="156">
        <f t="shared" si="7"/>
        <v>-1240503</v>
      </c>
      <c r="Z22" s="217"/>
      <c r="AA22" s="92"/>
    </row>
    <row r="23" spans="2:31">
      <c r="B23" s="116">
        <v>43553</v>
      </c>
      <c r="C23" s="14" t="str">
        <f t="shared" si="0"/>
        <v/>
      </c>
      <c r="D23" s="87"/>
      <c r="E23" s="87">
        <v>535</v>
      </c>
      <c r="F23" s="23">
        <v>-599241</v>
      </c>
      <c r="G23" s="26">
        <f t="shared" ref="G23" si="8">D23+E23+F23-E22-F22</f>
        <v>8498</v>
      </c>
      <c r="H23" s="132">
        <v>-150</v>
      </c>
      <c r="I23" s="25">
        <v>-16800</v>
      </c>
      <c r="J23" s="63">
        <v>-800</v>
      </c>
      <c r="K23" s="170">
        <f t="shared" si="3"/>
        <v>-17750</v>
      </c>
      <c r="L23" s="171">
        <v>24</v>
      </c>
      <c r="M23" s="153"/>
      <c r="N23" s="149">
        <f>L23+K23+G23+M23</f>
        <v>-9228</v>
      </c>
      <c r="O23" s="67">
        <f t="shared" si="1"/>
        <v>1166876.6705882354</v>
      </c>
      <c r="P23" s="7">
        <f t="shared" si="4"/>
        <v>19836903.400000002</v>
      </c>
      <c r="Q23" s="164">
        <f>Q22+N23</f>
        <v>1348859.85</v>
      </c>
      <c r="R23" s="29">
        <f t="shared" si="2"/>
        <v>1067.0101332861921</v>
      </c>
      <c r="S23" s="5">
        <f>SUM($Q$7:$Q23)/T23</f>
        <v>1370478.4852941178</v>
      </c>
      <c r="T23" s="18">
        <v>17</v>
      </c>
      <c r="U23" s="27"/>
      <c r="V23" s="135"/>
      <c r="W23" s="105">
        <v>-1222777</v>
      </c>
      <c r="X23" s="167"/>
      <c r="Y23" s="156">
        <f t="shared" si="7"/>
        <v>-1222777</v>
      </c>
      <c r="Z23" s="217"/>
      <c r="AA23" s="92"/>
    </row>
    <row r="24" spans="2:31">
      <c r="B24" s="116">
        <v>43554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1169851.2361111112</v>
      </c>
      <c r="P24" s="7">
        <f t="shared" si="4"/>
        <v>21057322.250000004</v>
      </c>
      <c r="Q24" s="164">
        <f t="shared" si="5"/>
        <v>1348859.85</v>
      </c>
      <c r="R24" s="29">
        <f t="shared" si="2"/>
        <v>1066.07504613013</v>
      </c>
      <c r="S24" s="5">
        <f>SUM($Q$7:$Q24)/T24</f>
        <v>1369277.4500000002</v>
      </c>
      <c r="T24" s="18">
        <v>18</v>
      </c>
      <c r="U24" s="4"/>
      <c r="V24" s="135"/>
      <c r="W24" s="105">
        <v>-1222777</v>
      </c>
      <c r="X24" s="167"/>
      <c r="Y24" s="156">
        <f t="shared" si="7"/>
        <v>-1222777</v>
      </c>
      <c r="Z24" s="217"/>
      <c r="AA24" s="92"/>
      <c r="AD24" s="1"/>
      <c r="AE24" s="1"/>
    </row>
    <row r="25" spans="2:31">
      <c r="B25" s="116">
        <v>43555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1172512.6894736844</v>
      </c>
      <c r="P25" s="7">
        <f t="shared" si="4"/>
        <v>22277741.100000005</v>
      </c>
      <c r="Q25" s="164">
        <f t="shared" si="5"/>
        <v>1348859.85</v>
      </c>
      <c r="R25" s="29">
        <f t="shared" si="2"/>
        <v>1065.2383892010218</v>
      </c>
      <c r="S25" s="5">
        <f>SUM($Q$7:$Q25)/T25</f>
        <v>1368202.8394736846</v>
      </c>
      <c r="T25" s="18">
        <v>19</v>
      </c>
      <c r="U25" s="4"/>
      <c r="V25" s="131"/>
      <c r="W25" s="105">
        <v>-1222777</v>
      </c>
      <c r="X25" s="167"/>
      <c r="Y25" s="156">
        <f t="shared" si="7"/>
        <v>-1222777</v>
      </c>
      <c r="Z25" s="217"/>
      <c r="AA25" s="92"/>
      <c r="AD25" s="1"/>
      <c r="AE25" s="1"/>
    </row>
    <row r="26" spans="2:31">
      <c r="B26" s="116">
        <v>43556</v>
      </c>
      <c r="C26" s="14" t="str">
        <f t="shared" si="0"/>
        <v/>
      </c>
      <c r="D26" s="87"/>
      <c r="E26" s="87">
        <v>0</v>
      </c>
      <c r="F26" s="23">
        <v>-631114</v>
      </c>
      <c r="G26" s="26">
        <f>D26+E26+F26-E23-F23</f>
        <v>-32408</v>
      </c>
      <c r="H26" s="132">
        <v>500</v>
      </c>
      <c r="I26" s="25">
        <v>61300</v>
      </c>
      <c r="J26" s="63">
        <v>-400</v>
      </c>
      <c r="K26" s="170">
        <f t="shared" si="3"/>
        <v>61400</v>
      </c>
      <c r="L26" s="171">
        <v>-39</v>
      </c>
      <c r="M26" s="153"/>
      <c r="N26" s="149">
        <f t="shared" si="6"/>
        <v>28953</v>
      </c>
      <c r="O26" s="67">
        <f t="shared" si="1"/>
        <v>1176385.6475000004</v>
      </c>
      <c r="P26" s="7">
        <f t="shared" si="4"/>
        <v>23527712.950000007</v>
      </c>
      <c r="Q26" s="164">
        <f>Q25+N26+600</f>
        <v>1378412.85</v>
      </c>
      <c r="R26" s="29">
        <f t="shared" si="2"/>
        <v>1065.6358483661761</v>
      </c>
      <c r="S26" s="5">
        <f>SUM($Q$7:$Q26)/T26</f>
        <v>1368713.3400000003</v>
      </c>
      <c r="T26" s="18">
        <v>20</v>
      </c>
      <c r="U26" s="138">
        <f>B26</f>
        <v>43556</v>
      </c>
      <c r="V26" s="131">
        <v>1352.8</v>
      </c>
      <c r="W26" s="105">
        <v>-1284738</v>
      </c>
      <c r="X26" s="167">
        <f>AVERAGE(W26:W34)</f>
        <v>-1304579.111111111</v>
      </c>
      <c r="Y26" s="156">
        <f>Y25-K26-L26</f>
        <v>-1284138</v>
      </c>
      <c r="Z26" s="217">
        <f>AVERAGE(Y26:Y34)</f>
        <v>-1304045.7777777778</v>
      </c>
      <c r="AC26" s="92"/>
      <c r="AD26" s="1"/>
      <c r="AE26" s="1"/>
    </row>
    <row r="27" spans="2:31">
      <c r="B27" s="116">
        <v>43557</v>
      </c>
      <c r="C27" s="14" t="str">
        <f t="shared" si="0"/>
        <v/>
      </c>
      <c r="D27" s="87"/>
      <c r="E27" s="87">
        <v>0</v>
      </c>
      <c r="F27" s="23">
        <v>-638346</v>
      </c>
      <c r="G27" s="26">
        <f>D27+E27+F27-E26-F26</f>
        <v>-7232</v>
      </c>
      <c r="H27" s="132">
        <v>700</v>
      </c>
      <c r="I27" s="25">
        <v>13400</v>
      </c>
      <c r="J27" s="63">
        <v>-400</v>
      </c>
      <c r="K27" s="170">
        <f t="shared" si="3"/>
        <v>13700</v>
      </c>
      <c r="L27" s="171">
        <v>18</v>
      </c>
      <c r="M27" s="153"/>
      <c r="N27" s="149">
        <f>L27+K27+G27+M27</f>
        <v>6486</v>
      </c>
      <c r="O27" s="67">
        <f t="shared" si="1"/>
        <v>1180198.5619047624</v>
      </c>
      <c r="P27" s="7">
        <f t="shared" si="4"/>
        <v>24784169.800000008</v>
      </c>
      <c r="Q27" s="164">
        <f>Q26+N27-1</f>
        <v>1384897.85</v>
      </c>
      <c r="R27" s="29">
        <f t="shared" si="2"/>
        <v>1066.2366619322347</v>
      </c>
      <c r="S27" s="5">
        <f>SUM($Q$7:$Q27)/T27+1</f>
        <v>1369485.0309523814</v>
      </c>
      <c r="T27" s="18">
        <v>21</v>
      </c>
      <c r="U27" s="138">
        <f>B28+6</f>
        <v>43564</v>
      </c>
      <c r="V27" s="159">
        <v>1331.7</v>
      </c>
      <c r="W27" s="105">
        <v>-1298456</v>
      </c>
      <c r="X27" s="167"/>
      <c r="Y27" s="156">
        <f>Y26-K27-L27</f>
        <v>-1297856</v>
      </c>
      <c r="Z27" s="217"/>
      <c r="AA27" s="92"/>
      <c r="AD27" s="1"/>
      <c r="AE27" s="1"/>
    </row>
    <row r="28" spans="2:31">
      <c r="B28" s="116">
        <v>43558</v>
      </c>
      <c r="C28" s="14" t="str">
        <f t="shared" si="0"/>
        <v/>
      </c>
      <c r="D28" s="87">
        <f>-6095+5379</f>
        <v>-716</v>
      </c>
      <c r="E28" s="87">
        <v>0</v>
      </c>
      <c r="F28" s="23">
        <v>-627719</v>
      </c>
      <c r="G28" s="26">
        <f>D28+E28+F28-E27-F27</f>
        <v>9911</v>
      </c>
      <c r="H28" s="132">
        <v>700</v>
      </c>
      <c r="I28" s="25">
        <v>5700</v>
      </c>
      <c r="J28" s="25">
        <v>-400</v>
      </c>
      <c r="K28" s="170">
        <f t="shared" si="3"/>
        <v>6000</v>
      </c>
      <c r="L28" s="171">
        <v>-16</v>
      </c>
      <c r="M28" s="153"/>
      <c r="N28" s="149">
        <f>L28+K28+G28+M28</f>
        <v>15895</v>
      </c>
      <c r="O28" s="67">
        <f t="shared" si="1"/>
        <v>1184387.3477272731</v>
      </c>
      <c r="P28" s="7">
        <f t="shared" si="4"/>
        <v>26056521.65000001</v>
      </c>
      <c r="Q28" s="164">
        <f>Q27+N28</f>
        <v>1400792.85</v>
      </c>
      <c r="R28" s="29">
        <f t="shared" si="2"/>
        <v>1067.343884811633</v>
      </c>
      <c r="S28" s="5">
        <f>SUM($Q$7:$Q28)/T28</f>
        <v>1370907.1590909096</v>
      </c>
      <c r="T28" s="18">
        <v>22</v>
      </c>
      <c r="U28" s="4"/>
      <c r="V28" s="131"/>
      <c r="W28" s="105">
        <v>-1304439</v>
      </c>
      <c r="X28" s="167"/>
      <c r="Y28" s="156">
        <f>Y27-K28-L28+1</f>
        <v>-1303839</v>
      </c>
      <c r="Z28" s="217"/>
      <c r="AA28" s="92"/>
      <c r="AD28" s="1"/>
      <c r="AE28" s="1"/>
    </row>
    <row r="29" spans="2:31">
      <c r="B29" s="116">
        <v>43559</v>
      </c>
      <c r="C29" s="14" t="str">
        <f t="shared" si="0"/>
        <v/>
      </c>
      <c r="D29" s="87"/>
      <c r="E29" s="87">
        <v>1</v>
      </c>
      <c r="F29" s="23">
        <v>-640214</v>
      </c>
      <c r="G29" s="26">
        <f>D29+E29+F29-E28-F28</f>
        <v>-12494</v>
      </c>
      <c r="H29" s="132">
        <v>700</v>
      </c>
      <c r="I29" s="25">
        <v>2400</v>
      </c>
      <c r="J29" s="25">
        <v>-500</v>
      </c>
      <c r="K29" s="170">
        <f t="shared" si="3"/>
        <v>2600</v>
      </c>
      <c r="L29" s="171">
        <v>-45</v>
      </c>
      <c r="M29" s="153"/>
      <c r="N29" s="149">
        <f>L29+K29+G29+M29</f>
        <v>-9939</v>
      </c>
      <c r="O29" s="67">
        <f t="shared" si="1"/>
        <v>1187779.7608695657</v>
      </c>
      <c r="P29" s="7">
        <f t="shared" si="4"/>
        <v>27318934.500000011</v>
      </c>
      <c r="Q29" s="164">
        <f>Q28+N29</f>
        <v>1390853.85</v>
      </c>
      <c r="R29" s="29">
        <f t="shared" si="2"/>
        <v>1068.0237669605031</v>
      </c>
      <c r="S29" s="5">
        <f>SUM($Q$7:$Q29)/T29+6</f>
        <v>1371780.4065217397</v>
      </c>
      <c r="T29" s="18">
        <v>23</v>
      </c>
      <c r="U29" s="4"/>
      <c r="V29" s="131"/>
      <c r="W29" s="105">
        <v>-1306994</v>
      </c>
      <c r="X29" s="167"/>
      <c r="Y29" s="156">
        <f t="shared" si="7"/>
        <v>-1306394</v>
      </c>
      <c r="Z29" s="217"/>
      <c r="AA29" s="92"/>
      <c r="AD29" s="1"/>
      <c r="AE29" s="1"/>
    </row>
    <row r="30" spans="2:31">
      <c r="B30" s="116">
        <v>43560</v>
      </c>
      <c r="C30" s="14" t="str">
        <f t="shared" si="0"/>
        <v/>
      </c>
      <c r="D30" s="87"/>
      <c r="E30" s="87">
        <v>0</v>
      </c>
      <c r="F30" s="23">
        <v>-634197</v>
      </c>
      <c r="G30" s="26">
        <f>D30+E30+F30-E29-F29</f>
        <v>6016</v>
      </c>
      <c r="H30" s="132">
        <v>600</v>
      </c>
      <c r="I30" s="25">
        <v>4800</v>
      </c>
      <c r="J30" s="25">
        <v>-500</v>
      </c>
      <c r="K30" s="170">
        <f t="shared" si="3"/>
        <v>4900</v>
      </c>
      <c r="L30" s="171">
        <v>-32</v>
      </c>
      <c r="M30" s="153"/>
      <c r="N30" s="149">
        <f t="shared" si="6"/>
        <v>10884</v>
      </c>
      <c r="O30" s="67">
        <f t="shared" si="1"/>
        <v>1191343.0145833339</v>
      </c>
      <c r="P30" s="7">
        <f t="shared" si="4"/>
        <v>28592232.350000013</v>
      </c>
      <c r="Q30" s="164">
        <f>Q29+N30+1</f>
        <v>1401738.85</v>
      </c>
      <c r="R30" s="29">
        <f t="shared" si="2"/>
        <v>1068.9958229848728</v>
      </c>
      <c r="S30" s="5">
        <f>SUM($Q$7:$Q30)/T30+6</f>
        <v>1373028.9250000005</v>
      </c>
      <c r="T30" s="18">
        <v>24</v>
      </c>
      <c r="U30" s="4"/>
      <c r="V30" s="131"/>
      <c r="W30" s="105">
        <v>-1311863</v>
      </c>
      <c r="X30" s="167"/>
      <c r="Y30" s="156">
        <f>Y29-K30-L30-1</f>
        <v>-1311263</v>
      </c>
      <c r="Z30" s="217"/>
      <c r="AA30" s="92"/>
      <c r="AD30" s="1"/>
      <c r="AE30" s="1"/>
    </row>
    <row r="31" spans="2:31">
      <c r="B31" s="116">
        <v>43561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1194621.2080000006</v>
      </c>
      <c r="P31" s="7">
        <f t="shared" si="4"/>
        <v>29865530.200000014</v>
      </c>
      <c r="Q31" s="164">
        <f t="shared" si="5"/>
        <v>1401738.85</v>
      </c>
      <c r="R31" s="29">
        <f t="shared" si="2"/>
        <v>1069.8870002569276</v>
      </c>
      <c r="S31" s="5">
        <f>SUM($Q$7:$Q31)/T31+2</f>
        <v>1374173.5620000004</v>
      </c>
      <c r="T31" s="18">
        <v>25</v>
      </c>
      <c r="U31" s="4"/>
      <c r="V31" s="137"/>
      <c r="W31" s="105">
        <v>-1311863</v>
      </c>
      <c r="X31" s="167"/>
      <c r="Y31" s="156">
        <f t="shared" si="7"/>
        <v>-1311263</v>
      </c>
      <c r="Z31" s="217"/>
      <c r="AA31" s="92"/>
      <c r="AB31" s="92"/>
      <c r="AD31" s="1"/>
      <c r="AE31" s="1"/>
    </row>
    <row r="32" spans="2:31">
      <c r="B32" s="116">
        <v>43562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1197647.2326923083</v>
      </c>
      <c r="P32" s="7">
        <f t="shared" si="4"/>
        <v>31138828.050000016</v>
      </c>
      <c r="Q32" s="164">
        <f t="shared" si="5"/>
        <v>1401738.85</v>
      </c>
      <c r="R32" s="29">
        <f t="shared" si="2"/>
        <v>1070.7109430070559</v>
      </c>
      <c r="S32" s="5">
        <f>SUM($Q$7:$Q32)/T32</f>
        <v>1375231.8423076929</v>
      </c>
      <c r="T32" s="18">
        <v>26</v>
      </c>
      <c r="U32" s="27"/>
      <c r="V32" s="137"/>
      <c r="W32" s="105">
        <v>-1311863</v>
      </c>
      <c r="X32" s="167"/>
      <c r="Y32" s="156">
        <f t="shared" si="7"/>
        <v>-1311263</v>
      </c>
      <c r="Z32" s="217"/>
      <c r="AD32" s="1"/>
      <c r="AE32" s="1"/>
    </row>
    <row r="33" spans="2:31">
      <c r="B33" s="116">
        <v>43563</v>
      </c>
      <c r="C33" s="14" t="str">
        <f t="shared" si="0"/>
        <v/>
      </c>
      <c r="D33" s="87"/>
      <c r="E33" s="87">
        <v>0</v>
      </c>
      <c r="F33" s="23">
        <v>-646659</v>
      </c>
      <c r="G33" s="26">
        <f>D33+E33+F33-E30-F30</f>
        <v>-12462</v>
      </c>
      <c r="H33" s="132">
        <v>600</v>
      </c>
      <c r="I33" s="25">
        <v>-9400</v>
      </c>
      <c r="J33" s="25">
        <v>-500</v>
      </c>
      <c r="K33" s="170">
        <f t="shared" si="3"/>
        <v>-9300</v>
      </c>
      <c r="L33" s="171">
        <v>-20</v>
      </c>
      <c r="M33" s="153"/>
      <c r="N33" s="149">
        <f t="shared" si="6"/>
        <v>-21782</v>
      </c>
      <c r="O33" s="67">
        <f t="shared" si="1"/>
        <v>1199642.3666666674</v>
      </c>
      <c r="P33" s="7">
        <f t="shared" si="4"/>
        <v>32390343.900000017</v>
      </c>
      <c r="Q33" s="164">
        <f>Q32+N33</f>
        <v>1379956.85</v>
      </c>
      <c r="R33" s="29">
        <f t="shared" si="2"/>
        <v>1070.8471925573556</v>
      </c>
      <c r="S33" s="5">
        <f>SUM($Q$7:$Q33)/T33</f>
        <v>1375406.842592593</v>
      </c>
      <c r="T33" s="18">
        <v>27</v>
      </c>
      <c r="U33" s="138">
        <f>B33</f>
        <v>43563</v>
      </c>
      <c r="V33" s="131" t="s">
        <v>261</v>
      </c>
      <c r="W33" s="105">
        <v>-1302543</v>
      </c>
      <c r="X33" s="167">
        <f>AVERAGE(W33:W41)</f>
        <v>-1299274.111111111</v>
      </c>
      <c r="Y33" s="156">
        <f t="shared" si="7"/>
        <v>-1301943</v>
      </c>
      <c r="Z33" s="217">
        <f>AVERAGE(Y33:Y41)</f>
        <v>-1299207.4444444445</v>
      </c>
      <c r="AD33" s="1"/>
      <c r="AE33" s="1"/>
    </row>
    <row r="34" spans="2:31">
      <c r="B34" s="116">
        <v>43564</v>
      </c>
      <c r="C34" s="14" t="str">
        <f t="shared" si="0"/>
        <v/>
      </c>
      <c r="D34" s="87"/>
      <c r="E34" s="87">
        <v>0</v>
      </c>
      <c r="F34" s="23">
        <v>-643476</v>
      </c>
      <c r="G34" s="26">
        <f>D34+E34+F34-E33-F33</f>
        <v>3183</v>
      </c>
      <c r="H34" s="132">
        <v>600</v>
      </c>
      <c r="I34" s="25">
        <v>6500</v>
      </c>
      <c r="J34" s="25">
        <v>-600</v>
      </c>
      <c r="K34" s="170">
        <f t="shared" si="3"/>
        <v>6500</v>
      </c>
      <c r="L34" s="171">
        <v>11</v>
      </c>
      <c r="M34" s="153"/>
      <c r="N34" s="149">
        <f>L34+K34+G34+M34</f>
        <v>9694</v>
      </c>
      <c r="O34" s="67">
        <f t="shared" si="1"/>
        <v>1201819.7410714291</v>
      </c>
      <c r="P34" s="7">
        <f t="shared" si="4"/>
        <v>33650952.750000015</v>
      </c>
      <c r="Q34" s="164">
        <f>Q33+N34-1-600</f>
        <v>1389049.85</v>
      </c>
      <c r="R34" s="29">
        <f t="shared" si="2"/>
        <v>1071.2265498222089</v>
      </c>
      <c r="S34" s="5">
        <f>SUM($Q$7:$Q34)/T34</f>
        <v>1375894.0928571434</v>
      </c>
      <c r="T34" s="18">
        <v>28</v>
      </c>
      <c r="U34" s="138">
        <f>B33+8</f>
        <v>43571</v>
      </c>
      <c r="V34" s="131">
        <v>1329.7</v>
      </c>
      <c r="W34" s="105">
        <v>-1308453</v>
      </c>
      <c r="X34" s="167"/>
      <c r="Y34" s="156">
        <f>Y33-K34-L34+1</f>
        <v>-1308453</v>
      </c>
      <c r="Z34" s="217"/>
      <c r="AA34" s="92"/>
      <c r="AD34" s="1"/>
      <c r="AE34" s="1"/>
    </row>
    <row r="35" spans="2:31">
      <c r="B35" s="116">
        <v>43565</v>
      </c>
      <c r="C35" s="14" t="str">
        <f t="shared" si="0"/>
        <v/>
      </c>
      <c r="D35" s="87">
        <f>-5379+5335</f>
        <v>-44</v>
      </c>
      <c r="E35" s="87">
        <v>141</v>
      </c>
      <c r="F35" s="23">
        <v>-633197</v>
      </c>
      <c r="G35" s="26">
        <f>D35+E35+F35-E34-F34</f>
        <v>10376</v>
      </c>
      <c r="H35" s="132">
        <v>600</v>
      </c>
      <c r="I35" s="25">
        <v>-3400</v>
      </c>
      <c r="J35" s="25">
        <v>-600</v>
      </c>
      <c r="K35" s="170">
        <f t="shared" si="3"/>
        <v>-3400</v>
      </c>
      <c r="L35" s="171">
        <v>36</v>
      </c>
      <c r="M35" s="153"/>
      <c r="N35" s="149">
        <f t="shared" si="6"/>
        <v>7012</v>
      </c>
      <c r="O35" s="67">
        <f t="shared" si="1"/>
        <v>1204088.7793103454</v>
      </c>
      <c r="P35" s="7">
        <f t="shared" si="4"/>
        <v>34918574.600000016</v>
      </c>
      <c r="Q35" s="164">
        <f>Q34+N35+1</f>
        <v>1396062.85</v>
      </c>
      <c r="R35" s="29">
        <f t="shared" si="2"/>
        <v>1071.7680236383865</v>
      </c>
      <c r="S35" s="5">
        <f>SUM($Q$7:$Q35)/T35</f>
        <v>1376589.56724138</v>
      </c>
      <c r="T35" s="18">
        <v>29</v>
      </c>
      <c r="U35" s="4"/>
      <c r="V35" s="131"/>
      <c r="W35" s="105">
        <v>-1305090</v>
      </c>
      <c r="X35" s="167"/>
      <c r="Y35" s="156">
        <f>Y34-K35-L35-1</f>
        <v>-1305090</v>
      </c>
      <c r="Z35" s="217"/>
      <c r="AA35" s="92"/>
      <c r="AD35" s="1"/>
      <c r="AE35" s="1"/>
    </row>
    <row r="36" spans="2:31">
      <c r="B36" s="116">
        <v>43566</v>
      </c>
      <c r="C36" s="14" t="str">
        <f t="shared" si="0"/>
        <v/>
      </c>
      <c r="D36" s="87"/>
      <c r="E36" s="87">
        <v>2</v>
      </c>
      <c r="F36" s="23">
        <v>-636357</v>
      </c>
      <c r="G36" s="26">
        <f>D36+E36+F36-E35-F35</f>
        <v>-3299</v>
      </c>
      <c r="H36" s="132">
        <v>600</v>
      </c>
      <c r="I36" s="25">
        <v>-4350</v>
      </c>
      <c r="J36" s="25">
        <v>-600</v>
      </c>
      <c r="K36" s="170">
        <f t="shared" si="3"/>
        <v>-4350</v>
      </c>
      <c r="L36" s="171">
        <v>-28</v>
      </c>
      <c r="M36" s="153"/>
      <c r="N36" s="149">
        <f>L36+K36+G36+M36</f>
        <v>-7677</v>
      </c>
      <c r="O36" s="67">
        <f t="shared" si="1"/>
        <v>1205950.5816666672</v>
      </c>
      <c r="P36" s="7">
        <f t="shared" si="4"/>
        <v>36178517.450000018</v>
      </c>
      <c r="Q36" s="164">
        <f>Q35+N36-2</f>
        <v>1388383.85</v>
      </c>
      <c r="R36" s="29">
        <f t="shared" si="2"/>
        <v>1072.0741118490207</v>
      </c>
      <c r="S36" s="5">
        <f>SUM($Q$7:$Q36)/T36</f>
        <v>1376982.7100000007</v>
      </c>
      <c r="T36" s="18">
        <v>30</v>
      </c>
      <c r="U36" s="4"/>
      <c r="V36" s="136"/>
      <c r="W36" s="105">
        <v>-1300709</v>
      </c>
      <c r="X36" s="167"/>
      <c r="Y36" s="156">
        <f>Y35-K36-L36+3</f>
        <v>-1300709</v>
      </c>
      <c r="Z36" s="217"/>
      <c r="AD36" s="1"/>
      <c r="AE36" s="1"/>
    </row>
    <row r="37" spans="2:31">
      <c r="B37" s="116">
        <v>43567</v>
      </c>
      <c r="C37" s="14" t="str">
        <f t="shared" si="0"/>
        <v/>
      </c>
      <c r="D37" s="87"/>
      <c r="E37" s="87">
        <v>53</v>
      </c>
      <c r="F37" s="23">
        <v>-631526</v>
      </c>
      <c r="G37" s="26">
        <f>D37+E37+F37-E36-F36</f>
        <v>4882</v>
      </c>
      <c r="H37" s="132">
        <v>600</v>
      </c>
      <c r="I37" s="25">
        <v>3500</v>
      </c>
      <c r="J37" s="25">
        <v>-600</v>
      </c>
      <c r="K37" s="170">
        <f t="shared" si="3"/>
        <v>3500</v>
      </c>
      <c r="L37" s="171">
        <v>0</v>
      </c>
      <c r="M37" s="153"/>
      <c r="N37" s="149">
        <f>L37+K37+G37+M37</f>
        <v>8382</v>
      </c>
      <c r="O37" s="67">
        <f t="shared" si="1"/>
        <v>1207962.5580645169</v>
      </c>
      <c r="P37" s="7">
        <f t="shared" si="4"/>
        <v>37446839.300000019</v>
      </c>
      <c r="Q37" s="164">
        <f>Q36+N37-3</f>
        <v>1396762.85</v>
      </c>
      <c r="R37" s="29">
        <f t="shared" si="2"/>
        <v>1072.5716702861694</v>
      </c>
      <c r="S37" s="5">
        <f>SUM($Q$7:$Q37)/T37+1</f>
        <v>1377621.7790322588</v>
      </c>
      <c r="T37" s="18">
        <v>31</v>
      </c>
      <c r="U37" s="27"/>
      <c r="V37" s="137"/>
      <c r="W37" s="105">
        <v>-1304208</v>
      </c>
      <c r="X37" s="167"/>
      <c r="Y37" s="156">
        <f>Y36-K37-L37+1</f>
        <v>-1304208</v>
      </c>
      <c r="Z37" s="217"/>
      <c r="AA37" s="92"/>
      <c r="AD37" s="1"/>
      <c r="AE37" s="1"/>
    </row>
    <row r="38" spans="2:31">
      <c r="B38" s="116">
        <v>43568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1209848.7859375007</v>
      </c>
      <c r="P38" s="7">
        <f t="shared" si="4"/>
        <v>38715161.150000021</v>
      </c>
      <c r="Q38" s="164">
        <f t="shared" si="5"/>
        <v>1396762.85</v>
      </c>
      <c r="R38" s="29">
        <f t="shared" si="2"/>
        <v>1073.0366228462879</v>
      </c>
      <c r="S38" s="5">
        <f>SUM($Q$7:$Q38)/T38</f>
        <v>1378218.9687500007</v>
      </c>
      <c r="T38" s="18">
        <v>32</v>
      </c>
      <c r="U38" s="27"/>
      <c r="V38" s="137"/>
      <c r="W38" s="105">
        <v>-1304208</v>
      </c>
      <c r="X38" s="167"/>
      <c r="Y38" s="156">
        <f t="shared" si="7"/>
        <v>-1304208</v>
      </c>
      <c r="Z38" s="217"/>
      <c r="AD38" s="1"/>
      <c r="AE38" s="1"/>
    </row>
    <row r="39" spans="2:31">
      <c r="B39" s="116">
        <v>43569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1211620.6969696977</v>
      </c>
      <c r="P39" s="7">
        <f t="shared" si="4"/>
        <v>39983483.000000022</v>
      </c>
      <c r="Q39" s="164">
        <f t="shared" si="5"/>
        <v>1396762.85</v>
      </c>
      <c r="R39" s="29">
        <f t="shared" si="2"/>
        <v>1073.4741278450456</v>
      </c>
      <c r="S39" s="5">
        <f>SUM($Q$7:$Q39)/T39</f>
        <v>1378780.9045454552</v>
      </c>
      <c r="T39" s="18">
        <v>33</v>
      </c>
      <c r="U39" s="27"/>
      <c r="V39" s="137"/>
      <c r="W39" s="105">
        <v>-1304208</v>
      </c>
      <c r="X39" s="167"/>
      <c r="Y39" s="156">
        <f t="shared" si="7"/>
        <v>-1304208</v>
      </c>
      <c r="Z39" s="217"/>
      <c r="AD39" s="1"/>
      <c r="AE39" s="1"/>
    </row>
    <row r="40" spans="2:31">
      <c r="B40" s="116">
        <v>43570</v>
      </c>
      <c r="C40" s="14" t="str">
        <f t="shared" si="0"/>
        <v/>
      </c>
      <c r="D40" s="87"/>
      <c r="E40" s="87">
        <v>27</v>
      </c>
      <c r="F40" s="23">
        <v>-633276</v>
      </c>
      <c r="G40" s="26">
        <f>D40+E40+F40-E37-F37</f>
        <v>-1776</v>
      </c>
      <c r="H40" s="132">
        <v>3800</v>
      </c>
      <c r="I40" s="25">
        <v>-9200</v>
      </c>
      <c r="J40" s="25">
        <v>-2000</v>
      </c>
      <c r="K40" s="170">
        <f t="shared" si="3"/>
        <v>-7400</v>
      </c>
      <c r="L40" s="171">
        <v>15</v>
      </c>
      <c r="M40" s="153"/>
      <c r="N40" s="149">
        <f t="shared" si="6"/>
        <v>-9161</v>
      </c>
      <c r="O40" s="67">
        <f t="shared" si="1"/>
        <v>1213018.9073529418</v>
      </c>
      <c r="P40" s="7">
        <f t="shared" si="4"/>
        <v>41242642.850000024</v>
      </c>
      <c r="Q40" s="164">
        <f>Q39+N40-1</f>
        <v>1387600.85</v>
      </c>
      <c r="R40" s="29">
        <f t="shared" si="2"/>
        <v>1073.6760961888206</v>
      </c>
      <c r="S40" s="5">
        <f>SUM($Q$7:$Q40)/T40</f>
        <v>1379040.3147058832</v>
      </c>
      <c r="T40" s="18">
        <v>34</v>
      </c>
      <c r="U40" s="138"/>
      <c r="V40" s="131"/>
      <c r="W40" s="105">
        <v>-1296822</v>
      </c>
      <c r="X40" s="167"/>
      <c r="Y40" s="156">
        <f>Y39-K40-L40+1</f>
        <v>-1296822</v>
      </c>
      <c r="Z40" s="217"/>
      <c r="AD40" s="1"/>
      <c r="AE40" s="1"/>
    </row>
    <row r="41" spans="2:31" ht="12.75" thickBot="1">
      <c r="B41" s="220">
        <v>43571</v>
      </c>
      <c r="C41" s="221" t="str">
        <f t="shared" si="0"/>
        <v/>
      </c>
      <c r="D41" s="222"/>
      <c r="E41" s="222">
        <v>23</v>
      </c>
      <c r="F41" s="223">
        <v>-612779</v>
      </c>
      <c r="G41" s="224">
        <f>D41+E41+F41-E40-F40</f>
        <v>20493</v>
      </c>
      <c r="H41" s="225">
        <v>700</v>
      </c>
      <c r="I41" s="226">
        <v>-28300</v>
      </c>
      <c r="J41" s="226">
        <v>-2000</v>
      </c>
      <c r="K41" s="173">
        <f t="shared" si="3"/>
        <v>-29600</v>
      </c>
      <c r="L41" s="174">
        <v>5</v>
      </c>
      <c r="M41" s="229"/>
      <c r="N41" s="230">
        <f>L41+K41+G41+M41</f>
        <v>-9102</v>
      </c>
      <c r="O41" s="231">
        <f t="shared" si="1"/>
        <v>1214077.1628571437</v>
      </c>
      <c r="P41" s="232">
        <f t="shared" si="4"/>
        <v>42492700.700000025</v>
      </c>
      <c r="Q41" s="233">
        <f>Q40+N41</f>
        <v>1378498.85</v>
      </c>
      <c r="R41" s="234">
        <f t="shared" si="2"/>
        <v>1073.6640514210533</v>
      </c>
      <c r="S41" s="235">
        <f>SUM($Q$7:$Q41)/T41</f>
        <v>1379024.8442857151</v>
      </c>
      <c r="T41" s="236">
        <v>35</v>
      </c>
      <c r="U41" s="237"/>
      <c r="V41" s="244"/>
      <c r="W41" s="239">
        <v>-1267226</v>
      </c>
      <c r="X41" s="240"/>
      <c r="Y41" s="241">
        <f>Y40-K41-L41+1</f>
        <v>-1267226</v>
      </c>
      <c r="Z41" s="242"/>
      <c r="AD41" s="1"/>
      <c r="AE41" s="1"/>
    </row>
    <row r="42" spans="2:31">
      <c r="C42" s="175"/>
      <c r="D42" s="176"/>
      <c r="E42" s="176"/>
      <c r="F42" s="104"/>
      <c r="G42" s="177"/>
      <c r="H42" s="104"/>
      <c r="I42" s="104"/>
      <c r="J42" s="104"/>
      <c r="K42" s="178"/>
      <c r="L42" s="179"/>
      <c r="M42" s="180"/>
      <c r="N42" s="181"/>
      <c r="O42" s="181"/>
      <c r="P42" s="182"/>
      <c r="Q42" s="183"/>
      <c r="R42" s="184"/>
      <c r="S42" s="6"/>
      <c r="T42" s="182"/>
      <c r="U42" s="185"/>
      <c r="V42" s="243"/>
      <c r="W42" s="187"/>
      <c r="X42" s="188"/>
      <c r="Y42" s="181"/>
      <c r="Z42" s="188"/>
      <c r="AD42" s="1"/>
      <c r="AE42" s="1"/>
    </row>
    <row r="43" spans="2:31" ht="12.75" thickBot="1">
      <c r="B43" s="193"/>
      <c r="C43" s="175"/>
      <c r="D43" s="176"/>
      <c r="E43" s="176"/>
      <c r="F43" s="104"/>
      <c r="G43" s="177"/>
      <c r="H43" s="104"/>
      <c r="I43" s="104"/>
      <c r="J43" s="104"/>
      <c r="K43" s="178"/>
      <c r="L43" s="179"/>
      <c r="M43" s="180"/>
      <c r="N43" s="181"/>
      <c r="O43" s="181"/>
      <c r="P43" s="182"/>
      <c r="Q43" s="183"/>
      <c r="R43" s="184"/>
      <c r="S43" s="6"/>
      <c r="T43" s="182"/>
      <c r="U43" s="185"/>
      <c r="V43" s="243"/>
      <c r="W43" s="187"/>
      <c r="X43" s="188"/>
      <c r="Y43" s="181"/>
      <c r="Z43" s="188"/>
      <c r="AD43" s="1"/>
      <c r="AE43" s="1"/>
    </row>
    <row r="44" spans="2:31" ht="13.5" thickTop="1" thickBot="1">
      <c r="B44" s="193"/>
      <c r="C44" s="30"/>
      <c r="D44" s="141" t="s">
        <v>58</v>
      </c>
      <c r="E44" s="20"/>
      <c r="F44" s="21"/>
      <c r="G44" s="22"/>
      <c r="H44" s="11"/>
      <c r="I44" s="11"/>
      <c r="J44" s="11"/>
      <c r="K44" s="12"/>
      <c r="L44" s="11"/>
      <c r="M44" s="11"/>
      <c r="N44" s="4"/>
    </row>
    <row r="45" spans="2:31" ht="12.75" thickTop="1">
      <c r="D45" s="27" t="s">
        <v>59</v>
      </c>
      <c r="E45" s="139"/>
      <c r="F45" s="142"/>
      <c r="G45" s="90">
        <f>'Feb 2019'!Q48</f>
        <v>1369516.8499999999</v>
      </c>
      <c r="H45" s="11"/>
      <c r="I45" s="11"/>
      <c r="J45" s="11"/>
      <c r="K45" s="12"/>
      <c r="L45" s="12"/>
      <c r="M45" s="12"/>
      <c r="N45" s="4"/>
    </row>
    <row r="46" spans="2:31">
      <c r="D46" s="138" t="s">
        <v>4</v>
      </c>
      <c r="E46" s="139"/>
      <c r="F46" s="143"/>
      <c r="G46" s="91">
        <f>'Feb 2019'!E48</f>
        <v>0</v>
      </c>
      <c r="H46" s="13"/>
      <c r="I46" s="13"/>
      <c r="J46" s="13"/>
      <c r="K46" s="12"/>
      <c r="L46" s="13"/>
      <c r="M46" s="13"/>
      <c r="N46" s="6"/>
    </row>
    <row r="47" spans="2:31">
      <c r="D47" s="138" t="s">
        <v>60</v>
      </c>
      <c r="E47" s="144"/>
      <c r="F47" s="143"/>
      <c r="G47" s="91">
        <f>'Feb 2019'!F48</f>
        <v>-648651</v>
      </c>
      <c r="H47" s="13"/>
      <c r="I47" s="13"/>
      <c r="J47" s="13"/>
      <c r="K47" s="12"/>
      <c r="L47" s="13"/>
      <c r="M47" s="13"/>
      <c r="N47" s="6"/>
    </row>
    <row r="48" spans="2:31" ht="12.75" thickBot="1">
      <c r="D48" s="140" t="s">
        <v>46</v>
      </c>
      <c r="E48" s="145"/>
      <c r="F48" s="146"/>
      <c r="G48" s="158">
        <f>'Feb 2019'!Y48</f>
        <v>-1289778</v>
      </c>
      <c r="H48" s="13"/>
      <c r="I48" s="13"/>
      <c r="J48" s="13"/>
      <c r="K48" s="12"/>
      <c r="L48" s="13"/>
      <c r="M48" s="95"/>
      <c r="N48" s="6"/>
    </row>
    <row r="49" ht="12.75" thickTop="1"/>
    <row r="65511" spans="23:23">
      <c r="W65511" s="105"/>
    </row>
    <row r="65518" spans="23:23">
      <c r="W65518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IU65539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62" sqref="Y6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128836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43572</v>
      </c>
      <c r="C7" s="14" t="str">
        <f t="shared" ref="C7:C40" si="0">IF(OR(WEEKDAY(B7)=1,WEEKDAY(B7)=7),"F","")</f>
        <v/>
      </c>
      <c r="D7" s="87">
        <f>-5335+5403</f>
        <v>68</v>
      </c>
      <c r="E7" s="128">
        <v>7</v>
      </c>
      <c r="F7" s="162">
        <v>-537929</v>
      </c>
      <c r="G7" s="26">
        <f>D7+E7+F7-G67-G68</f>
        <v>74925</v>
      </c>
      <c r="H7" s="132">
        <v>100</v>
      </c>
      <c r="I7" s="63">
        <v>-2800</v>
      </c>
      <c r="J7" s="63">
        <v>-1800</v>
      </c>
      <c r="K7" s="168">
        <f>+H7+I7+J7</f>
        <v>-4500</v>
      </c>
      <c r="L7" s="169">
        <v>22</v>
      </c>
      <c r="M7" s="153"/>
      <c r="N7" s="149">
        <f>L7+K7+G7+M7</f>
        <v>70447</v>
      </c>
      <c r="O7" s="67">
        <f t="shared" ref="O7:O41" si="1">P7/T7</f>
        <v>1320087.8500000001</v>
      </c>
      <c r="P7" s="163">
        <f>(+$Q7-$Q$3)</f>
        <v>1320087.8500000001</v>
      </c>
      <c r="Q7" s="164">
        <f>G66+N7-22</f>
        <v>1448923.85</v>
      </c>
      <c r="R7" s="29">
        <f t="shared" ref="R7:R62" si="2">$S7/$Q$3*100</f>
        <v>1124.6265407184328</v>
      </c>
      <c r="S7" s="165">
        <f>$Q7</f>
        <v>1448923.85</v>
      </c>
      <c r="T7" s="166">
        <v>1</v>
      </c>
      <c r="U7" s="138">
        <f>B7</f>
        <v>43572</v>
      </c>
      <c r="V7" s="131" t="s">
        <v>262</v>
      </c>
      <c r="W7" s="105">
        <v>-1262749</v>
      </c>
      <c r="X7" s="167">
        <f>AVERAGE(W7:W15)</f>
        <v>-1251577.4444444445</v>
      </c>
      <c r="Y7" s="156">
        <f>-L7-K7+'March 2019'!Y41-1</f>
        <v>-1262749</v>
      </c>
      <c r="Z7" s="217">
        <f>AVERAGE(Y7:Y13)</f>
        <v>-1252899.142857143</v>
      </c>
      <c r="AA7" s="92"/>
    </row>
    <row r="8" spans="2:255">
      <c r="B8" s="116">
        <v>43573</v>
      </c>
      <c r="C8" s="14"/>
      <c r="D8" s="128"/>
      <c r="E8" s="128">
        <v>3705</v>
      </c>
      <c r="F8" s="162">
        <v>-586429</v>
      </c>
      <c r="G8" s="26">
        <f>D8+E8+F8-E7-F7</f>
        <v>-44802</v>
      </c>
      <c r="H8" s="132">
        <v>-5400</v>
      </c>
      <c r="I8" s="63">
        <v>-3000</v>
      </c>
      <c r="J8" s="63">
        <v>-1800</v>
      </c>
      <c r="K8" s="170">
        <f t="shared" ref="K8:K41" si="3">+H8+I8+J8</f>
        <v>-10200</v>
      </c>
      <c r="L8" s="171">
        <v>-9</v>
      </c>
      <c r="M8" s="153"/>
      <c r="N8" s="149">
        <f>L8+K8+G8+M8</f>
        <v>-55011</v>
      </c>
      <c r="O8" s="67">
        <f t="shared" si="1"/>
        <v>632534.92500000005</v>
      </c>
      <c r="P8" s="163">
        <f>(IF($Q8&lt;0,-$Q$3+P6,($Q8-$Q$3)+P6))</f>
        <v>1265069.8500000001</v>
      </c>
      <c r="Q8" s="164">
        <f>Q7+N8-7</f>
        <v>1393905.85</v>
      </c>
      <c r="R8" s="29">
        <f t="shared" si="2"/>
        <v>1103.2753655810488</v>
      </c>
      <c r="S8" s="165">
        <f>SUM($Q$7:$Q8)/T8+1</f>
        <v>1421415.85</v>
      </c>
      <c r="T8" s="166">
        <v>2</v>
      </c>
      <c r="U8" s="138">
        <f>B7+8</f>
        <v>43580</v>
      </c>
      <c r="V8" s="131">
        <v>1369</v>
      </c>
      <c r="W8" s="105">
        <v>-1252539</v>
      </c>
      <c r="X8" s="167"/>
      <c r="Y8" s="156">
        <f>Y7-K8-L8+1</f>
        <v>-1252539</v>
      </c>
      <c r="Z8" s="217"/>
      <c r="AA8" s="92"/>
    </row>
    <row r="9" spans="2:255">
      <c r="B9" s="116">
        <v>43574</v>
      </c>
      <c r="C9" s="14" t="s">
        <v>242</v>
      </c>
      <c r="D9" s="87"/>
      <c r="E9" s="87"/>
      <c r="F9" s="23"/>
      <c r="G9" s="26"/>
      <c r="H9" s="132"/>
      <c r="I9" s="63"/>
      <c r="J9" s="63"/>
      <c r="K9" s="170">
        <f t="shared" si="3"/>
        <v>0</v>
      </c>
      <c r="L9" s="171"/>
      <c r="M9" s="153"/>
      <c r="N9" s="149">
        <f>L9+K9+G9+M9</f>
        <v>0</v>
      </c>
      <c r="O9" s="67">
        <f t="shared" si="1"/>
        <v>861719.2333333334</v>
      </c>
      <c r="P9" s="7">
        <f>(IF($Q9&lt;0,-$Q$3+P7,($Q9-$Q$3)+P7))</f>
        <v>2585157.7000000002</v>
      </c>
      <c r="Q9" s="164">
        <f>Q8+N9</f>
        <v>1393905.85</v>
      </c>
      <c r="R9" s="29">
        <f t="shared" si="2"/>
        <v>1096.1580484750641</v>
      </c>
      <c r="S9" s="5">
        <f>SUM($Q$7:$Q9)/T9+1</f>
        <v>1412246.1833333336</v>
      </c>
      <c r="T9" s="17">
        <v>3</v>
      </c>
      <c r="U9" s="4"/>
      <c r="V9" s="131"/>
      <c r="W9" s="105">
        <v>-1252539</v>
      </c>
      <c r="X9" s="167"/>
      <c r="Y9" s="156">
        <f>Y8-K9-L9</f>
        <v>-1252539</v>
      </c>
      <c r="Z9" s="217"/>
      <c r="AA9" s="92"/>
    </row>
    <row r="10" spans="2:255">
      <c r="B10" s="116">
        <v>43575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962556.88750000007</v>
      </c>
      <c r="P10" s="7">
        <f t="shared" ref="P10:P62" si="4">(IF($Q10&lt;0,-$Q$3+P9,($Q10-$Q$3)+P9))</f>
        <v>3850227.5500000003</v>
      </c>
      <c r="Q10" s="164">
        <f t="shared" ref="Q10:Q39" si="5">Q9+N10</f>
        <v>1393905.85</v>
      </c>
      <c r="R10" s="29">
        <f t="shared" si="2"/>
        <v>1092.5978375609302</v>
      </c>
      <c r="S10" s="5">
        <f>SUM($Q$7:$Q10)/T10-1</f>
        <v>1407659.35</v>
      </c>
      <c r="T10" s="17">
        <v>4</v>
      </c>
      <c r="U10" s="27"/>
      <c r="V10" s="133"/>
      <c r="W10" s="105">
        <v>-1252539</v>
      </c>
      <c r="X10" s="167"/>
      <c r="Y10" s="156">
        <f>Y9-K10-L10</f>
        <v>-1252539</v>
      </c>
      <c r="Z10" s="217"/>
      <c r="AA10" s="92"/>
    </row>
    <row r="11" spans="2:255">
      <c r="B11" s="116">
        <v>43576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0" si="6">L11+K11+G11+M11</f>
        <v>0</v>
      </c>
      <c r="O11" s="67">
        <f t="shared" si="1"/>
        <v>1023059.4800000001</v>
      </c>
      <c r="P11" s="7">
        <f t="shared" si="4"/>
        <v>5115297.4000000004</v>
      </c>
      <c r="Q11" s="164">
        <f t="shared" si="5"/>
        <v>1393905.85</v>
      </c>
      <c r="R11" s="29">
        <f t="shared" si="2"/>
        <v>1090.4634186097053</v>
      </c>
      <c r="S11" s="5">
        <f>SUM($Q$7:$Q11)/T11</f>
        <v>1404909.45</v>
      </c>
      <c r="T11" s="17">
        <v>5</v>
      </c>
      <c r="U11" s="27"/>
      <c r="V11" s="134"/>
      <c r="W11" s="105">
        <v>-1252539</v>
      </c>
      <c r="X11" s="167"/>
      <c r="Y11" s="156">
        <f t="shared" ref="Y11:Y39" si="7">Y10-K11-L11</f>
        <v>-1252539</v>
      </c>
      <c r="Z11" s="217"/>
      <c r="AA11" s="92"/>
    </row>
    <row r="12" spans="2:255">
      <c r="B12" s="116">
        <v>43577</v>
      </c>
      <c r="C12" s="14" t="s">
        <v>242</v>
      </c>
      <c r="D12" s="87"/>
      <c r="E12" s="161"/>
      <c r="F12" s="23"/>
      <c r="G12" s="26"/>
      <c r="H12" s="132"/>
      <c r="I12" s="63"/>
      <c r="J12" s="63"/>
      <c r="K12" s="170">
        <f t="shared" si="3"/>
        <v>0</v>
      </c>
      <c r="L12" s="171"/>
      <c r="M12" s="153"/>
      <c r="N12" s="149">
        <f t="shared" si="6"/>
        <v>0</v>
      </c>
      <c r="O12" s="67">
        <f t="shared" si="1"/>
        <v>1063395.7083333333</v>
      </c>
      <c r="P12" s="7">
        <f t="shared" si="4"/>
        <v>6380374.25</v>
      </c>
      <c r="Q12" s="164">
        <f>Q11+N12+7</f>
        <v>1393912.85</v>
      </c>
      <c r="R12" s="29">
        <f t="shared" si="2"/>
        <v>1089.0408607325076</v>
      </c>
      <c r="S12" s="5">
        <f>SUM($Q$7:$Q12)/T12</f>
        <v>1403076.6833333333</v>
      </c>
      <c r="T12" s="17">
        <v>6</v>
      </c>
      <c r="U12" s="138">
        <f>B12</f>
        <v>43577</v>
      </c>
      <c r="V12" s="131" t="s">
        <v>264</v>
      </c>
      <c r="W12" s="105">
        <v>-1252539</v>
      </c>
      <c r="X12" s="167">
        <f>AVERAGE(W12:W20)</f>
        <v>-1257562.111111111</v>
      </c>
      <c r="Y12" s="156">
        <f>Y11-K12-L12</f>
        <v>-1252539</v>
      </c>
      <c r="Z12" s="217">
        <f>AVERAGE(Y12:Y20)</f>
        <v>-1257562.111111111</v>
      </c>
      <c r="AA12" s="92"/>
    </row>
    <row r="13" spans="2:255">
      <c r="B13" s="116">
        <v>43578</v>
      </c>
      <c r="C13" s="14"/>
      <c r="D13" s="87"/>
      <c r="E13" s="87">
        <v>0</v>
      </c>
      <c r="F13" s="23">
        <v>-571839</v>
      </c>
      <c r="G13" s="26">
        <f>D13+E13+F13-E8-F8</f>
        <v>10885</v>
      </c>
      <c r="H13" s="132">
        <v>-15800</v>
      </c>
      <c r="I13" s="63">
        <v>7900</v>
      </c>
      <c r="J13" s="63">
        <v>200</v>
      </c>
      <c r="K13" s="170">
        <f t="shared" si="3"/>
        <v>-7700</v>
      </c>
      <c r="L13" s="171">
        <v>13</v>
      </c>
      <c r="M13" s="153"/>
      <c r="N13" s="149">
        <f t="shared" si="6"/>
        <v>3198</v>
      </c>
      <c r="O13" s="67">
        <f t="shared" si="1"/>
        <v>1092663.7285714285</v>
      </c>
      <c r="P13" s="7">
        <f>(IF($Q13&lt;0,-$Q$3+P12,($Q13-$Q$3)+P12))</f>
        <v>7648646.0999999996</v>
      </c>
      <c r="Q13" s="164">
        <f>Q12+N13-3</f>
        <v>1397107.85</v>
      </c>
      <c r="R13" s="29">
        <f t="shared" si="2"/>
        <v>1088.3790189521119</v>
      </c>
      <c r="S13" s="5">
        <f>SUM($Q$7:$Q13)/T13</f>
        <v>1402223.9928571428</v>
      </c>
      <c r="T13" s="17">
        <v>7</v>
      </c>
      <c r="U13" s="138">
        <f>B14+7</f>
        <v>43586</v>
      </c>
      <c r="V13" s="249">
        <v>1370.5</v>
      </c>
      <c r="W13" s="105">
        <v>-1244850</v>
      </c>
      <c r="X13" s="167"/>
      <c r="Y13" s="156">
        <f>Y12-K13-L13+2</f>
        <v>-1244850</v>
      </c>
      <c r="Z13" s="217"/>
      <c r="AA13" s="92"/>
      <c r="AB13" s="92"/>
    </row>
    <row r="14" spans="2:255">
      <c r="B14" s="116">
        <v>43579</v>
      </c>
      <c r="C14" s="14"/>
      <c r="D14" s="87">
        <f>-5403+5959</f>
        <v>556</v>
      </c>
      <c r="E14" s="87">
        <v>4</v>
      </c>
      <c r="F14" s="23">
        <v>-590825</v>
      </c>
      <c r="G14" s="26">
        <f>D14+E14+F14-E13-F13</f>
        <v>-18426</v>
      </c>
      <c r="H14" s="132">
        <v>200</v>
      </c>
      <c r="I14" s="63">
        <v>-12800</v>
      </c>
      <c r="J14" s="63">
        <v>200</v>
      </c>
      <c r="K14" s="170">
        <f t="shared" si="3"/>
        <v>-12400</v>
      </c>
      <c r="L14" s="171">
        <v>-3</v>
      </c>
      <c r="M14" s="154"/>
      <c r="N14" s="149">
        <f>L14+K14+G14+M14</f>
        <v>-30829</v>
      </c>
      <c r="O14" s="67">
        <f t="shared" si="1"/>
        <v>1110760.7437499999</v>
      </c>
      <c r="P14" s="7">
        <f t="shared" si="4"/>
        <v>8886085.9499999993</v>
      </c>
      <c r="Q14" s="164">
        <f>Q13+N14-3</f>
        <v>1366275.85</v>
      </c>
      <c r="R14" s="29">
        <f t="shared" si="2"/>
        <v>1084.8912376975379</v>
      </c>
      <c r="S14" s="5">
        <f>SUM($Q$7:$Q14)/T14</f>
        <v>1397730.4749999999</v>
      </c>
      <c r="T14" s="17">
        <v>8</v>
      </c>
      <c r="U14" s="4"/>
      <c r="V14" s="4"/>
      <c r="W14" s="105">
        <v>-1232446</v>
      </c>
      <c r="X14" s="167"/>
      <c r="Y14" s="156">
        <f>Y13-K14-L14+1</f>
        <v>-1232446</v>
      </c>
      <c r="Z14" s="217"/>
      <c r="AA14" s="92"/>
    </row>
    <row r="15" spans="2:255">
      <c r="B15" s="116">
        <v>43580</v>
      </c>
      <c r="C15" s="14" t="str">
        <f t="shared" si="0"/>
        <v/>
      </c>
      <c r="D15" s="87">
        <f>-952+860</f>
        <v>-92</v>
      </c>
      <c r="E15" s="87">
        <v>0</v>
      </c>
      <c r="F15" s="23">
        <v>-619764</v>
      </c>
      <c r="G15" s="26">
        <f>D15+E15+F15-E14-F14</f>
        <v>-29035</v>
      </c>
      <c r="H15" s="132">
        <v>-4300</v>
      </c>
      <c r="I15" s="63">
        <v>33100</v>
      </c>
      <c r="J15" s="63">
        <v>200</v>
      </c>
      <c r="K15" s="170">
        <f t="shared" si="3"/>
        <v>29000</v>
      </c>
      <c r="L15" s="172">
        <v>10</v>
      </c>
      <c r="M15" s="153"/>
      <c r="N15" s="149">
        <f t="shared" si="6"/>
        <v>-25</v>
      </c>
      <c r="O15" s="67">
        <f t="shared" si="1"/>
        <v>1124833.5333333332</v>
      </c>
      <c r="P15" s="7">
        <f t="shared" si="4"/>
        <v>10123501.799999999</v>
      </c>
      <c r="Q15" s="164">
        <f>Q14+N15+1</f>
        <v>1366251.85</v>
      </c>
      <c r="R15" s="29">
        <f t="shared" si="2"/>
        <v>1082.1764491291253</v>
      </c>
      <c r="S15" s="5">
        <f>SUM($Q$7:$Q15)/T15</f>
        <v>1394232.8499999999</v>
      </c>
      <c r="T15" s="17">
        <v>9</v>
      </c>
      <c r="U15" s="4"/>
      <c r="V15" s="4"/>
      <c r="W15" s="105">
        <v>-1261457</v>
      </c>
      <c r="X15" s="167"/>
      <c r="Y15" s="156">
        <f>Y14-K15-L15-1</f>
        <v>-1261457</v>
      </c>
      <c r="Z15" s="217"/>
      <c r="AA15" s="92"/>
      <c r="AB15" s="92"/>
    </row>
    <row r="16" spans="2:255" s="69" customFormat="1">
      <c r="B16" s="116">
        <v>43581</v>
      </c>
      <c r="C16" s="14" t="str">
        <f t="shared" si="0"/>
        <v/>
      </c>
      <c r="D16" s="129"/>
      <c r="E16" s="87">
        <v>142</v>
      </c>
      <c r="F16" s="23">
        <v>-610643</v>
      </c>
      <c r="G16" s="26">
        <f>D16+E16+F16-E15-F15</f>
        <v>9263</v>
      </c>
      <c r="H16" s="132">
        <v>700</v>
      </c>
      <c r="I16" s="63">
        <v>2400</v>
      </c>
      <c r="J16" s="63">
        <v>200</v>
      </c>
      <c r="K16" s="170">
        <f t="shared" si="3"/>
        <v>3300</v>
      </c>
      <c r="L16" s="172">
        <v>20</v>
      </c>
      <c r="M16" s="153"/>
      <c r="N16" s="149">
        <f t="shared" si="6"/>
        <v>12583</v>
      </c>
      <c r="O16" s="67">
        <f t="shared" si="1"/>
        <v>1137350.2649999999</v>
      </c>
      <c r="P16" s="70">
        <f t="shared" si="4"/>
        <v>11373502.649999999</v>
      </c>
      <c r="Q16" s="164">
        <f>Q15+N16+2</f>
        <v>1378836.85</v>
      </c>
      <c r="R16" s="71">
        <f t="shared" si="2"/>
        <v>1080.9822177031263</v>
      </c>
      <c r="S16" s="72">
        <f>SUM($Q$7:$Q16)/T16+1</f>
        <v>1392694.2499999998</v>
      </c>
      <c r="T16" s="73">
        <v>10</v>
      </c>
      <c r="U16" s="218"/>
      <c r="V16" s="133"/>
      <c r="W16" s="105">
        <v>-1264778</v>
      </c>
      <c r="X16" s="167"/>
      <c r="Y16" s="156">
        <f>Y15-K16-L16-1</f>
        <v>-1264778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43582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1147591.2272727271</v>
      </c>
      <c r="P17" s="7">
        <f t="shared" si="4"/>
        <v>12623503.499999998</v>
      </c>
      <c r="Q17" s="164">
        <f t="shared" si="5"/>
        <v>1378836.85</v>
      </c>
      <c r="R17" s="29">
        <f t="shared" si="2"/>
        <v>1080.0037080262716</v>
      </c>
      <c r="S17" s="5">
        <f>SUM($Q$7:$Q17)/T17</f>
        <v>1391433.5772727272</v>
      </c>
      <c r="T17" s="18">
        <v>11</v>
      </c>
      <c r="U17" s="27"/>
      <c r="V17" s="136"/>
      <c r="W17" s="105">
        <v>-1264778</v>
      </c>
      <c r="X17" s="167"/>
      <c r="Y17" s="156">
        <f t="shared" si="7"/>
        <v>-1264778</v>
      </c>
      <c r="Z17" s="217"/>
      <c r="AA17" s="92"/>
      <c r="AC17" s="92"/>
    </row>
    <row r="18" spans="2:31">
      <c r="B18" s="116">
        <v>43583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1156125.3624999998</v>
      </c>
      <c r="P18" s="7">
        <f t="shared" si="4"/>
        <v>13873504.349999998</v>
      </c>
      <c r="Q18" s="164">
        <f t="shared" si="5"/>
        <v>1378836.85</v>
      </c>
      <c r="R18" s="29">
        <f t="shared" si="2"/>
        <v>1079.1881539321305</v>
      </c>
      <c r="S18" s="5">
        <f>SUM($Q$7:$Q18)/T18-1</f>
        <v>1390382.8499999999</v>
      </c>
      <c r="T18" s="18">
        <v>12</v>
      </c>
      <c r="U18" s="27"/>
      <c r="V18" s="136"/>
      <c r="W18" s="105">
        <v>-1264778</v>
      </c>
      <c r="X18" s="167"/>
      <c r="Y18" s="156">
        <f t="shared" si="7"/>
        <v>-1264778</v>
      </c>
      <c r="Z18" s="217"/>
      <c r="AA18" s="92"/>
    </row>
    <row r="19" spans="2:31">
      <c r="B19" s="116">
        <v>43584</v>
      </c>
      <c r="C19" s="14" t="str">
        <f t="shared" si="0"/>
        <v/>
      </c>
      <c r="D19" s="87"/>
      <c r="E19" s="87">
        <v>12</v>
      </c>
      <c r="F19" s="23">
        <v>-605395</v>
      </c>
      <c r="G19" s="26">
        <f>D19+E19+F19-E16-F16</f>
        <v>5118</v>
      </c>
      <c r="H19" s="132">
        <v>-4000</v>
      </c>
      <c r="I19" s="25">
        <v>-16000</v>
      </c>
      <c r="J19" s="63">
        <v>-100</v>
      </c>
      <c r="K19" s="170">
        <f t="shared" si="3"/>
        <v>-20100</v>
      </c>
      <c r="L19" s="171">
        <v>-47</v>
      </c>
      <c r="M19" s="153"/>
      <c r="N19" s="149">
        <f t="shared" si="6"/>
        <v>-15029</v>
      </c>
      <c r="O19" s="67">
        <f t="shared" si="1"/>
        <v>1162190.4769230767</v>
      </c>
      <c r="P19" s="7">
        <f t="shared" si="4"/>
        <v>15108476.199999997</v>
      </c>
      <c r="Q19" s="164">
        <f>Q18+N19</f>
        <v>1363807.85</v>
      </c>
      <c r="R19" s="29">
        <f t="shared" si="2"/>
        <v>1077.6021782015059</v>
      </c>
      <c r="S19" s="5">
        <f>SUM($Q$7:$Q19)/T19</f>
        <v>1388339.5423076921</v>
      </c>
      <c r="T19" s="18">
        <v>13</v>
      </c>
      <c r="U19" s="138">
        <f>B19</f>
        <v>43584</v>
      </c>
      <c r="V19" s="131" t="s">
        <v>265</v>
      </c>
      <c r="W19" s="105">
        <v>-1244631</v>
      </c>
      <c r="X19" s="167">
        <f>AVERAGE(W19:W27)</f>
        <v>-1301177.111111111</v>
      </c>
      <c r="Y19" s="156">
        <f t="shared" si="7"/>
        <v>-1244631</v>
      </c>
      <c r="Z19" s="217">
        <f>AVERAGE(Y19:Y27)</f>
        <v>-1301248.888888889</v>
      </c>
      <c r="AA19" s="92"/>
    </row>
    <row r="20" spans="2:31">
      <c r="B20" s="116">
        <v>43585</v>
      </c>
      <c r="C20" s="14"/>
      <c r="D20" s="87"/>
      <c r="E20" s="87">
        <v>22</v>
      </c>
      <c r="F20" s="23">
        <v>-629068</v>
      </c>
      <c r="G20" s="26">
        <f>D20+E20+F20-E19-F19</f>
        <v>-23663</v>
      </c>
      <c r="H20" s="132">
        <v>600</v>
      </c>
      <c r="I20" s="25">
        <v>42700</v>
      </c>
      <c r="J20" s="63">
        <v>-100</v>
      </c>
      <c r="K20" s="170">
        <f t="shared" si="3"/>
        <v>43200</v>
      </c>
      <c r="L20" s="171">
        <v>-29</v>
      </c>
      <c r="M20" s="153"/>
      <c r="N20" s="149">
        <f t="shared" si="6"/>
        <v>19508</v>
      </c>
      <c r="O20" s="67">
        <f t="shared" si="1"/>
        <v>1168782.5749999997</v>
      </c>
      <c r="P20" s="7">
        <f t="shared" si="4"/>
        <v>16362956.049999997</v>
      </c>
      <c r="Q20" s="164">
        <f>Q19+N20</f>
        <v>1383315.85</v>
      </c>
      <c r="R20" s="29">
        <f t="shared" si="2"/>
        <v>1077.3236573184959</v>
      </c>
      <c r="S20" s="5">
        <f>SUM($Q$7:$Q20)/T20</f>
        <v>1387980.7071428571</v>
      </c>
      <c r="T20" s="18">
        <v>14</v>
      </c>
      <c r="U20" s="138">
        <f>B19+8</f>
        <v>43592</v>
      </c>
      <c r="V20" s="131">
        <v>1330.4</v>
      </c>
      <c r="W20" s="105">
        <v>-1287802</v>
      </c>
      <c r="X20" s="167"/>
      <c r="Y20" s="156">
        <f>Y19-K20-L20</f>
        <v>-1287802</v>
      </c>
      <c r="Z20" s="217"/>
      <c r="AA20" s="92"/>
      <c r="AB20" s="92"/>
    </row>
    <row r="21" spans="2:31">
      <c r="B21" s="116">
        <v>43586</v>
      </c>
      <c r="C21" s="14" t="s">
        <v>242</v>
      </c>
      <c r="D21" s="87"/>
      <c r="E21" s="87"/>
      <c r="F21" s="23"/>
      <c r="G21" s="26"/>
      <c r="H21" s="132"/>
      <c r="I21" s="25"/>
      <c r="J21" s="63"/>
      <c r="K21" s="170">
        <f t="shared" si="3"/>
        <v>0</v>
      </c>
      <c r="L21" s="171"/>
      <c r="M21" s="153"/>
      <c r="N21" s="149">
        <f>L21+K21+G21+M21</f>
        <v>0</v>
      </c>
      <c r="O21" s="67">
        <f t="shared" si="1"/>
        <v>1174495.7266666666</v>
      </c>
      <c r="P21" s="7">
        <f t="shared" si="4"/>
        <v>17617435.899999999</v>
      </c>
      <c r="Q21" s="164">
        <f>Q20+N21</f>
        <v>1383315.85</v>
      </c>
      <c r="R21" s="29">
        <f t="shared" si="2"/>
        <v>1077.08227255322</v>
      </c>
      <c r="S21" s="5">
        <f>SUM($Q$7:$Q21)/T21</f>
        <v>1387669.7166666666</v>
      </c>
      <c r="T21" s="18">
        <v>15</v>
      </c>
      <c r="U21" s="4"/>
      <c r="V21" s="131"/>
      <c r="W21" s="105">
        <v>-1287802</v>
      </c>
      <c r="X21" s="167"/>
      <c r="Y21" s="156">
        <f>Y20-K21-L21</f>
        <v>-1287802</v>
      </c>
      <c r="Z21" s="217"/>
      <c r="AA21" s="92"/>
    </row>
    <row r="22" spans="2:31">
      <c r="B22" s="116">
        <v>43587</v>
      </c>
      <c r="C22" s="14" t="str">
        <f t="shared" si="0"/>
        <v/>
      </c>
      <c r="D22" s="87">
        <f>-5959+5743</f>
        <v>-216</v>
      </c>
      <c r="E22" s="87">
        <v>0</v>
      </c>
      <c r="F22" s="23">
        <v>-632673</v>
      </c>
      <c r="G22" s="26">
        <f>D22+E22+F22-E20-F20</f>
        <v>-3843</v>
      </c>
      <c r="H22" s="132">
        <v>19300</v>
      </c>
      <c r="I22" s="25">
        <v>21600</v>
      </c>
      <c r="J22" s="63">
        <v>-100</v>
      </c>
      <c r="K22" s="170">
        <f t="shared" si="3"/>
        <v>40800</v>
      </c>
      <c r="L22" s="171">
        <v>42</v>
      </c>
      <c r="M22" s="153"/>
      <c r="N22" s="149">
        <f>L22+K22+G22+M22</f>
        <v>36999</v>
      </c>
      <c r="O22" s="67">
        <f t="shared" si="1"/>
        <v>1181807.296875</v>
      </c>
      <c r="P22" s="7">
        <f t="shared" si="4"/>
        <v>18908916.75</v>
      </c>
      <c r="Q22" s="164">
        <f>Q21+N22+2</f>
        <v>1420316.85</v>
      </c>
      <c r="R22" s="29">
        <f t="shared" si="2"/>
        <v>1078.6652507839424</v>
      </c>
      <c r="S22" s="5">
        <f>SUM($Q$7:$Q22)/T22-1</f>
        <v>1389709.1625000001</v>
      </c>
      <c r="T22" s="18">
        <v>16</v>
      </c>
      <c r="U22" s="4"/>
      <c r="V22" s="131"/>
      <c r="W22" s="105">
        <v>-1328644</v>
      </c>
      <c r="X22" s="167"/>
      <c r="Y22" s="156">
        <f t="shared" si="7"/>
        <v>-1328644</v>
      </c>
      <c r="Z22" s="217"/>
      <c r="AA22" s="92"/>
    </row>
    <row r="23" spans="2:31">
      <c r="B23" s="116">
        <v>43588</v>
      </c>
      <c r="C23" s="14" t="str">
        <f t="shared" si="0"/>
        <v/>
      </c>
      <c r="D23" s="87"/>
      <c r="E23" s="87">
        <v>0</v>
      </c>
      <c r="F23" s="23">
        <v>-633678</v>
      </c>
      <c r="G23" s="26">
        <f t="shared" ref="G23" si="8">D23+E23+F23-E22-F22</f>
        <v>-1005</v>
      </c>
      <c r="H23" s="132">
        <v>400</v>
      </c>
      <c r="I23" s="25">
        <v>-15800</v>
      </c>
      <c r="J23" s="63">
        <v>-100</v>
      </c>
      <c r="K23" s="170">
        <f t="shared" si="3"/>
        <v>-15500</v>
      </c>
      <c r="L23" s="171">
        <v>45</v>
      </c>
      <c r="M23" s="153"/>
      <c r="N23" s="149">
        <f>L23+K23+G23+M23</f>
        <v>-16460</v>
      </c>
      <c r="O23" s="67">
        <f t="shared" si="1"/>
        <v>1187290.3882352943</v>
      </c>
      <c r="P23" s="7">
        <f t="shared" si="4"/>
        <v>20183936.600000001</v>
      </c>
      <c r="Q23" s="164">
        <f>Q22+N23-1</f>
        <v>1403855.85</v>
      </c>
      <c r="R23" s="29">
        <f t="shared" si="2"/>
        <v>1079.3118862466283</v>
      </c>
      <c r="S23" s="5">
        <f>SUM($Q$7:$Q23)/T23</f>
        <v>1390542.2617647061</v>
      </c>
      <c r="T23" s="18">
        <v>17</v>
      </c>
      <c r="U23" s="27"/>
      <c r="V23" s="135"/>
      <c r="W23" s="105">
        <v>-1313189</v>
      </c>
      <c r="X23" s="167"/>
      <c r="Y23" s="156">
        <f t="shared" si="7"/>
        <v>-1313189</v>
      </c>
      <c r="Z23" s="217"/>
      <c r="AA23" s="92"/>
    </row>
    <row r="24" spans="2:31">
      <c r="B24" s="116">
        <v>43589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1192164.2472222224</v>
      </c>
      <c r="P24" s="7">
        <f t="shared" si="4"/>
        <v>21458956.450000003</v>
      </c>
      <c r="Q24" s="164">
        <f t="shared" si="5"/>
        <v>1403855.85</v>
      </c>
      <c r="R24" s="29">
        <f t="shared" si="2"/>
        <v>1079.8859833862864</v>
      </c>
      <c r="S24" s="5">
        <f>SUM($Q$7:$Q24)/T24</f>
        <v>1391281.9055555558</v>
      </c>
      <c r="T24" s="18">
        <v>18</v>
      </c>
      <c r="U24" s="4"/>
      <c r="V24" s="135"/>
      <c r="W24" s="105">
        <v>-1313189</v>
      </c>
      <c r="X24" s="167"/>
      <c r="Y24" s="156">
        <f t="shared" si="7"/>
        <v>-1313189</v>
      </c>
      <c r="Z24" s="217"/>
      <c r="AA24" s="92"/>
      <c r="AD24" s="1"/>
      <c r="AE24" s="1"/>
    </row>
    <row r="25" spans="2:31">
      <c r="B25" s="116">
        <v>43590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1196525.0684210528</v>
      </c>
      <c r="P25" s="7">
        <f t="shared" si="4"/>
        <v>22733976.300000004</v>
      </c>
      <c r="Q25" s="164">
        <f t="shared" si="5"/>
        <v>1403855.85</v>
      </c>
      <c r="R25" s="29">
        <f t="shared" si="2"/>
        <v>1080.3996492480856</v>
      </c>
      <c r="S25" s="5">
        <f>SUM($Q$7:$Q25)/T25</f>
        <v>1391943.6921052635</v>
      </c>
      <c r="T25" s="18">
        <v>19</v>
      </c>
      <c r="U25" s="4"/>
      <c r="V25" s="131"/>
      <c r="W25" s="105">
        <v>-1313189</v>
      </c>
      <c r="X25" s="167"/>
      <c r="Y25" s="156">
        <f t="shared" si="7"/>
        <v>-1313189</v>
      </c>
      <c r="Z25" s="217"/>
      <c r="AA25" s="92"/>
      <c r="AD25" s="1"/>
      <c r="AE25" s="1"/>
    </row>
    <row r="26" spans="2:31">
      <c r="B26" s="116">
        <v>43591</v>
      </c>
      <c r="C26" s="14" t="str">
        <f t="shared" si="0"/>
        <v/>
      </c>
      <c r="D26" s="87"/>
      <c r="E26" s="87">
        <v>0</v>
      </c>
      <c r="F26" s="23">
        <v>-618924</v>
      </c>
      <c r="G26" s="26">
        <f>D26+E26+F26-E23-F23</f>
        <v>14754</v>
      </c>
      <c r="H26" s="132">
        <v>500</v>
      </c>
      <c r="I26" s="25">
        <v>-3400</v>
      </c>
      <c r="J26" s="63">
        <v>500</v>
      </c>
      <c r="K26" s="170">
        <f t="shared" si="3"/>
        <v>-2400</v>
      </c>
      <c r="L26" s="171">
        <v>46</v>
      </c>
      <c r="M26" s="153"/>
      <c r="N26" s="149">
        <f t="shared" si="6"/>
        <v>12400</v>
      </c>
      <c r="O26" s="67">
        <f t="shared" si="1"/>
        <v>1201069.8075000003</v>
      </c>
      <c r="P26" s="7">
        <f t="shared" si="4"/>
        <v>24021396.150000006</v>
      </c>
      <c r="Q26" s="164">
        <f>Q25+N26</f>
        <v>1416255.85</v>
      </c>
      <c r="R26" s="29">
        <f t="shared" si="2"/>
        <v>1081.3431804775066</v>
      </c>
      <c r="S26" s="5">
        <f>SUM($Q$7:$Q26)/T26</f>
        <v>1393159.3000000003</v>
      </c>
      <c r="T26" s="18">
        <v>20</v>
      </c>
      <c r="U26" s="138">
        <f>B26</f>
        <v>43591</v>
      </c>
      <c r="V26" s="131" t="s">
        <v>266</v>
      </c>
      <c r="W26" s="105">
        <v>-1310189</v>
      </c>
      <c r="X26" s="167">
        <f>AVERAGE(W26:W34)</f>
        <v>-1316512.5555555555</v>
      </c>
      <c r="Y26" s="156">
        <f>Y25-K26-L26</f>
        <v>-1310835</v>
      </c>
      <c r="Z26" s="217">
        <f>AVERAGE(Y26:Y34)</f>
        <v>-1316058.7777777778</v>
      </c>
      <c r="AC26" s="92"/>
      <c r="AD26" s="1"/>
      <c r="AE26" s="1"/>
    </row>
    <row r="27" spans="2:31">
      <c r="B27" s="116">
        <v>43592</v>
      </c>
      <c r="C27" s="14" t="str">
        <f t="shared" si="0"/>
        <v/>
      </c>
      <c r="D27" s="87"/>
      <c r="E27" s="87">
        <v>0</v>
      </c>
      <c r="F27" s="23">
        <v>-612101</v>
      </c>
      <c r="G27" s="26">
        <f>D27+E27+F27-E26-F26</f>
        <v>6823</v>
      </c>
      <c r="H27" s="132">
        <v>700</v>
      </c>
      <c r="I27" s="25">
        <v>-100</v>
      </c>
      <c r="J27" s="63">
        <v>500</v>
      </c>
      <c r="K27" s="170">
        <f t="shared" si="3"/>
        <v>1100</v>
      </c>
      <c r="L27" s="171">
        <v>24</v>
      </c>
      <c r="M27" s="153"/>
      <c r="N27" s="149">
        <f>L27+K27+G27+M27</f>
        <v>7947</v>
      </c>
      <c r="O27" s="67">
        <f t="shared" si="1"/>
        <v>1205560.1428571432</v>
      </c>
      <c r="P27" s="7">
        <f t="shared" si="4"/>
        <v>25316763.000000007</v>
      </c>
      <c r="Q27" s="164">
        <f>Q26+N27</f>
        <v>1424202.85</v>
      </c>
      <c r="R27" s="29">
        <f t="shared" si="2"/>
        <v>1082.4913566749315</v>
      </c>
      <c r="S27" s="5">
        <f>SUM($Q$7:$Q27)/T27+1</f>
        <v>1394638.5642857146</v>
      </c>
      <c r="T27" s="18">
        <v>21</v>
      </c>
      <c r="U27" s="138">
        <f>B28+6</f>
        <v>43599</v>
      </c>
      <c r="V27" s="159">
        <v>1312.6</v>
      </c>
      <c r="W27" s="105">
        <v>-1311959</v>
      </c>
      <c r="X27" s="167"/>
      <c r="Y27" s="156">
        <f>Y26-K27-L27</f>
        <v>-1311959</v>
      </c>
      <c r="Z27" s="217"/>
      <c r="AA27" s="92"/>
      <c r="AD27" s="1"/>
      <c r="AE27" s="1"/>
    </row>
    <row r="28" spans="2:31">
      <c r="B28" s="116">
        <v>43593</v>
      </c>
      <c r="C28" s="14" t="str">
        <f t="shared" si="0"/>
        <v/>
      </c>
      <c r="D28" s="87">
        <f>-5743+5394</f>
        <v>-349</v>
      </c>
      <c r="E28" s="87">
        <v>0</v>
      </c>
      <c r="F28" s="23">
        <v>-603981</v>
      </c>
      <c r="G28" s="26">
        <f>D28+E28+F28-E27-F27</f>
        <v>7771</v>
      </c>
      <c r="H28" s="132">
        <v>700</v>
      </c>
      <c r="I28" s="25">
        <v>1500</v>
      </c>
      <c r="J28" s="25">
        <v>500</v>
      </c>
      <c r="K28" s="170">
        <f t="shared" si="3"/>
        <v>2700</v>
      </c>
      <c r="L28" s="171">
        <v>41</v>
      </c>
      <c r="M28" s="153"/>
      <c r="N28" s="149">
        <f>L28+K28+G28+M28</f>
        <v>10512</v>
      </c>
      <c r="O28" s="67">
        <f t="shared" si="1"/>
        <v>1210120.0840909095</v>
      </c>
      <c r="P28" s="7">
        <f t="shared" si="4"/>
        <v>26622641.850000009</v>
      </c>
      <c r="Q28" s="164">
        <f>Q27+N28</f>
        <v>1434714.85</v>
      </c>
      <c r="R28" s="29">
        <f t="shared" si="2"/>
        <v>1083.9045446078035</v>
      </c>
      <c r="S28" s="5">
        <f>SUM($Q$7:$Q28)/T28</f>
        <v>1396459.2590909095</v>
      </c>
      <c r="T28" s="18">
        <v>22</v>
      </c>
      <c r="U28" s="4"/>
      <c r="V28" s="131"/>
      <c r="W28" s="105">
        <v>-1314699</v>
      </c>
      <c r="X28" s="167"/>
      <c r="Y28" s="156">
        <f>Y27-K28-L28+1</f>
        <v>-1314699</v>
      </c>
      <c r="Z28" s="217"/>
      <c r="AA28" s="92"/>
      <c r="AD28" s="1"/>
      <c r="AE28" s="1"/>
    </row>
    <row r="29" spans="2:31">
      <c r="B29" s="116">
        <v>43594</v>
      </c>
      <c r="C29" s="14" t="str">
        <f t="shared" si="0"/>
        <v/>
      </c>
      <c r="D29" s="87"/>
      <c r="E29" s="87">
        <v>0</v>
      </c>
      <c r="F29" s="23">
        <v>-603351</v>
      </c>
      <c r="G29" s="26">
        <f>D29+E29+F29-E28-F28</f>
        <v>630</v>
      </c>
      <c r="H29" s="132">
        <v>700</v>
      </c>
      <c r="I29" s="25">
        <v>6500</v>
      </c>
      <c r="J29" s="25">
        <v>400</v>
      </c>
      <c r="K29" s="170">
        <f t="shared" si="3"/>
        <v>7600</v>
      </c>
      <c r="L29" s="171">
        <v>-38</v>
      </c>
      <c r="M29" s="153"/>
      <c r="N29" s="149">
        <f>L29+K29+G29+M29</f>
        <v>8192</v>
      </c>
      <c r="O29" s="67">
        <f t="shared" si="1"/>
        <v>1214639.6826086962</v>
      </c>
      <c r="P29" s="7">
        <f t="shared" si="4"/>
        <v>27936712.70000001</v>
      </c>
      <c r="Q29" s="164">
        <f>Q28+N29</f>
        <v>1442906.85</v>
      </c>
      <c r="R29" s="29">
        <f t="shared" si="2"/>
        <v>1085.4720105911531</v>
      </c>
      <c r="S29" s="5">
        <f>SUM($Q$7:$Q29)/T29</f>
        <v>1398478.7195652178</v>
      </c>
      <c r="T29" s="18">
        <v>23</v>
      </c>
      <c r="U29" s="4"/>
      <c r="V29" s="131"/>
      <c r="W29" s="105">
        <v>-1322263</v>
      </c>
      <c r="X29" s="167"/>
      <c r="Y29" s="156">
        <f>Y28-K29-L29-2</f>
        <v>-1322263</v>
      </c>
      <c r="Z29" s="217"/>
      <c r="AA29" s="92"/>
      <c r="AD29" s="1"/>
      <c r="AE29" s="1"/>
    </row>
    <row r="30" spans="2:31">
      <c r="B30" s="116">
        <v>43595</v>
      </c>
      <c r="C30" s="14" t="str">
        <f t="shared" si="0"/>
        <v/>
      </c>
      <c r="D30" s="87"/>
      <c r="E30" s="87">
        <v>0</v>
      </c>
      <c r="F30" s="23">
        <v>-605289</v>
      </c>
      <c r="G30" s="26">
        <f>D30+E30+F30-E29-F29</f>
        <v>-1938</v>
      </c>
      <c r="H30" s="132">
        <v>600</v>
      </c>
      <c r="I30" s="25">
        <v>-6000</v>
      </c>
      <c r="J30" s="25">
        <v>400</v>
      </c>
      <c r="K30" s="170">
        <f t="shared" si="3"/>
        <v>-5000</v>
      </c>
      <c r="L30" s="171">
        <v>-30</v>
      </c>
      <c r="M30" s="153"/>
      <c r="N30" s="149">
        <f t="shared" si="6"/>
        <v>-6968</v>
      </c>
      <c r="O30" s="67">
        <f t="shared" si="1"/>
        <v>1218492.3562500004</v>
      </c>
      <c r="P30" s="7">
        <f t="shared" si="4"/>
        <v>29243816.550000012</v>
      </c>
      <c r="Q30" s="164">
        <f>Q29+N30+1</f>
        <v>1435939.85</v>
      </c>
      <c r="R30" s="29">
        <f t="shared" si="2"/>
        <v>1086.6881927411598</v>
      </c>
      <c r="S30" s="5">
        <f>SUM($Q$7:$Q30)/T30+6</f>
        <v>1400045.6000000006</v>
      </c>
      <c r="T30" s="18">
        <v>24</v>
      </c>
      <c r="U30" s="4"/>
      <c r="V30" s="131"/>
      <c r="W30" s="105">
        <v>-1321964</v>
      </c>
      <c r="X30" s="167"/>
      <c r="Y30" s="156">
        <f>Y29-K30-L30-1</f>
        <v>-1317234</v>
      </c>
      <c r="Z30" s="217"/>
      <c r="AA30" s="92"/>
      <c r="AD30" s="1"/>
      <c r="AE30" s="1"/>
    </row>
    <row r="31" spans="2:31">
      <c r="B31" s="116">
        <v>43596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1222036.8160000006</v>
      </c>
      <c r="P31" s="7">
        <f t="shared" si="4"/>
        <v>30550920.400000013</v>
      </c>
      <c r="Q31" s="164">
        <f t="shared" si="5"/>
        <v>1435939.85</v>
      </c>
      <c r="R31" s="29">
        <f t="shared" si="2"/>
        <v>1087.7996910801332</v>
      </c>
      <c r="S31" s="5">
        <f>SUM($Q$7:$Q31)/T31+2</f>
        <v>1401477.6100000006</v>
      </c>
      <c r="T31" s="18">
        <v>25</v>
      </c>
      <c r="U31" s="4"/>
      <c r="V31" s="137"/>
      <c r="W31" s="105">
        <v>-1317234</v>
      </c>
      <c r="X31" s="167"/>
      <c r="Y31" s="156">
        <f t="shared" si="7"/>
        <v>-1317234</v>
      </c>
      <c r="Z31" s="217"/>
      <c r="AA31" s="92"/>
      <c r="AB31" s="92"/>
      <c r="AD31" s="1"/>
      <c r="AE31" s="1"/>
    </row>
    <row r="32" spans="2:31">
      <c r="B32" s="116">
        <v>43597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1225308.6250000005</v>
      </c>
      <c r="P32" s="7">
        <f t="shared" si="4"/>
        <v>31858024.250000015</v>
      </c>
      <c r="Q32" s="164">
        <f t="shared" si="5"/>
        <v>1435939.85</v>
      </c>
      <c r="R32" s="29">
        <f t="shared" si="2"/>
        <v>1088.8270030832284</v>
      </c>
      <c r="S32" s="5">
        <f>SUM($Q$7:$Q32)/T32</f>
        <v>1402801.1576923083</v>
      </c>
      <c r="T32" s="18">
        <v>26</v>
      </c>
      <c r="U32" s="27"/>
      <c r="V32" s="137"/>
      <c r="W32" s="105">
        <v>-1317234</v>
      </c>
      <c r="X32" s="167"/>
      <c r="Y32" s="156">
        <f t="shared" si="7"/>
        <v>-1317234</v>
      </c>
      <c r="Z32" s="217"/>
      <c r="AD32" s="1"/>
      <c r="AE32" s="1"/>
    </row>
    <row r="33" spans="2:31">
      <c r="B33" s="116">
        <v>43598</v>
      </c>
      <c r="C33" s="14" t="str">
        <f t="shared" si="0"/>
        <v/>
      </c>
      <c r="D33" s="87"/>
      <c r="E33" s="87">
        <v>1</v>
      </c>
      <c r="F33" s="23">
        <v>-614924</v>
      </c>
      <c r="G33" s="26">
        <f>D33+E33+F33-E30-F30</f>
        <v>-9634</v>
      </c>
      <c r="H33" s="132">
        <v>600</v>
      </c>
      <c r="I33" s="25">
        <v>-400</v>
      </c>
      <c r="J33" s="25">
        <v>300</v>
      </c>
      <c r="K33" s="170">
        <f t="shared" si="3"/>
        <v>500</v>
      </c>
      <c r="L33" s="171">
        <v>22</v>
      </c>
      <c r="M33" s="153"/>
      <c r="N33" s="149">
        <f t="shared" si="6"/>
        <v>-9112</v>
      </c>
      <c r="O33" s="67">
        <f t="shared" si="1"/>
        <v>1228000.633333334</v>
      </c>
      <c r="P33" s="7">
        <f t="shared" si="4"/>
        <v>33156017.100000016</v>
      </c>
      <c r="Q33" s="164">
        <f>Q32+N33+1</f>
        <v>1426828.85</v>
      </c>
      <c r="R33" s="29">
        <f t="shared" si="2"/>
        <v>1089.5177374508855</v>
      </c>
      <c r="S33" s="5">
        <f>SUM($Q$7:$Q33)/T33</f>
        <v>1403691.0722222228</v>
      </c>
      <c r="T33" s="18">
        <v>27</v>
      </c>
      <c r="U33" s="138">
        <f>B33</f>
        <v>43598</v>
      </c>
      <c r="V33" s="131" t="s">
        <v>267</v>
      </c>
      <c r="W33" s="105">
        <v>-1317756</v>
      </c>
      <c r="X33" s="167">
        <f>AVERAGE(W33:W41)</f>
        <v>-1277584.5555555555</v>
      </c>
      <c r="Y33" s="156">
        <f t="shared" si="7"/>
        <v>-1317756</v>
      </c>
      <c r="Z33" s="217">
        <f>AVERAGE(Y33:Y41)</f>
        <v>-1277584.5555555555</v>
      </c>
      <c r="AD33" s="1"/>
      <c r="AE33" s="1"/>
    </row>
    <row r="34" spans="2:31">
      <c r="B34" s="116">
        <v>43599</v>
      </c>
      <c r="C34" s="14" t="str">
        <f t="shared" si="0"/>
        <v/>
      </c>
      <c r="D34" s="87"/>
      <c r="E34" s="87">
        <v>124</v>
      </c>
      <c r="F34" s="23">
        <v>-612177</v>
      </c>
      <c r="G34" s="26">
        <f>D34+E34+F34-E33-F33</f>
        <v>2870</v>
      </c>
      <c r="H34" s="132">
        <v>600</v>
      </c>
      <c r="I34" s="25">
        <v>-3300</v>
      </c>
      <c r="J34" s="25">
        <v>300</v>
      </c>
      <c r="K34" s="170">
        <f t="shared" si="3"/>
        <v>-2400</v>
      </c>
      <c r="L34" s="171">
        <v>-40</v>
      </c>
      <c r="M34" s="153"/>
      <c r="N34" s="149">
        <f>L34+K34+G34+M34</f>
        <v>430</v>
      </c>
      <c r="O34" s="67">
        <f t="shared" si="1"/>
        <v>1230515.7125000006</v>
      </c>
      <c r="P34" s="7">
        <f t="shared" si="4"/>
        <v>34454439.950000018</v>
      </c>
      <c r="Q34" s="164">
        <f>Q33+N34</f>
        <v>1427258.85</v>
      </c>
      <c r="R34" s="29">
        <f t="shared" si="2"/>
        <v>1090.1710535653303</v>
      </c>
      <c r="S34" s="5">
        <f>SUM($Q$7:$Q34)/T34</f>
        <v>1404532.7785714292</v>
      </c>
      <c r="T34" s="18">
        <v>28</v>
      </c>
      <c r="U34" s="138">
        <f>B33+8</f>
        <v>43606</v>
      </c>
      <c r="V34" s="131">
        <v>1350.7</v>
      </c>
      <c r="W34" s="105">
        <v>-1315315</v>
      </c>
      <c r="X34" s="167"/>
      <c r="Y34" s="156">
        <f>Y33-K34-L34+1</f>
        <v>-1315315</v>
      </c>
      <c r="Z34" s="217"/>
      <c r="AA34" s="92"/>
      <c r="AD34" s="1"/>
      <c r="AE34" s="1"/>
    </row>
    <row r="35" spans="2:31">
      <c r="B35" s="116">
        <v>43600</v>
      </c>
      <c r="C35" s="14" t="str">
        <f t="shared" si="0"/>
        <v/>
      </c>
      <c r="D35" s="87">
        <f>-5394+5399</f>
        <v>5</v>
      </c>
      <c r="E35" s="87">
        <v>3</v>
      </c>
      <c r="F35" s="23">
        <v>-604805</v>
      </c>
      <c r="G35" s="26">
        <f>D35+E35+F35-E34-F34</f>
        <v>7256</v>
      </c>
      <c r="H35" s="132">
        <v>600</v>
      </c>
      <c r="I35" s="25">
        <v>-4900</v>
      </c>
      <c r="J35" s="25">
        <v>300</v>
      </c>
      <c r="K35" s="170">
        <f t="shared" si="3"/>
        <v>-4000</v>
      </c>
      <c r="L35" s="171">
        <v>-25</v>
      </c>
      <c r="M35" s="153"/>
      <c r="N35" s="149">
        <f t="shared" si="6"/>
        <v>3231</v>
      </c>
      <c r="O35" s="67">
        <f t="shared" si="1"/>
        <v>1232968.7517241386</v>
      </c>
      <c r="P35" s="7">
        <f t="shared" si="4"/>
        <v>35756093.800000019</v>
      </c>
      <c r="Q35" s="164">
        <f>Q34+N35</f>
        <v>1430489.85</v>
      </c>
      <c r="R35" s="29">
        <f t="shared" si="2"/>
        <v>1090.8657906175299</v>
      </c>
      <c r="S35" s="5">
        <f>SUM($Q$7:$Q35)/T35</f>
        <v>1405427.8500000008</v>
      </c>
      <c r="T35" s="18">
        <v>29</v>
      </c>
      <c r="U35" s="4"/>
      <c r="V35" s="131"/>
      <c r="W35" s="105">
        <v>-1311291</v>
      </c>
      <c r="X35" s="167"/>
      <c r="Y35" s="156">
        <f>Y34-K35-L35-1</f>
        <v>-1311291</v>
      </c>
      <c r="Z35" s="217"/>
      <c r="AA35" s="92"/>
      <c r="AD35" s="1"/>
      <c r="AE35" s="1"/>
    </row>
    <row r="36" spans="2:31">
      <c r="B36" s="116">
        <v>43601</v>
      </c>
      <c r="C36" s="14" t="str">
        <f t="shared" si="0"/>
        <v/>
      </c>
      <c r="D36" s="87"/>
      <c r="E36" s="87">
        <v>6</v>
      </c>
      <c r="F36" s="23">
        <v>-596066</v>
      </c>
      <c r="G36" s="26">
        <f>D36+E36+F36-E35-F35</f>
        <v>8742</v>
      </c>
      <c r="H36" s="132">
        <v>3100</v>
      </c>
      <c r="I36" s="25">
        <v>-37600</v>
      </c>
      <c r="J36" s="25">
        <v>200</v>
      </c>
      <c r="K36" s="170">
        <f t="shared" si="3"/>
        <v>-34300</v>
      </c>
      <c r="L36" s="171">
        <v>-42</v>
      </c>
      <c r="M36" s="153"/>
      <c r="N36" s="149">
        <f>L36+K36+G36+M36</f>
        <v>-25600</v>
      </c>
      <c r="O36" s="67">
        <f t="shared" si="1"/>
        <v>1234404.8216666675</v>
      </c>
      <c r="P36" s="7">
        <f t="shared" si="4"/>
        <v>37032144.650000021</v>
      </c>
      <c r="Q36" s="164">
        <f>Q35+N36-3</f>
        <v>1404886.85</v>
      </c>
      <c r="R36" s="29">
        <f t="shared" si="2"/>
        <v>1090.8517934945723</v>
      </c>
      <c r="S36" s="5">
        <f>SUM($Q$7:$Q36)/T36</f>
        <v>1405409.8166666673</v>
      </c>
      <c r="T36" s="18">
        <v>30</v>
      </c>
      <c r="U36" s="4"/>
      <c r="V36" s="136"/>
      <c r="W36" s="105">
        <v>-1276946</v>
      </c>
      <c r="X36" s="167"/>
      <c r="Y36" s="156">
        <f>Y35-K36-L36+3</f>
        <v>-1276946</v>
      </c>
      <c r="Z36" s="217"/>
      <c r="AD36" s="1"/>
      <c r="AE36" s="1"/>
    </row>
    <row r="37" spans="2:31">
      <c r="B37" s="116">
        <v>43602</v>
      </c>
      <c r="C37" s="14" t="str">
        <f t="shared" si="0"/>
        <v/>
      </c>
      <c r="D37" s="87"/>
      <c r="E37" s="87">
        <v>0</v>
      </c>
      <c r="F37" s="23">
        <v>-593064</v>
      </c>
      <c r="G37" s="26">
        <f>D37+E37+F37-E36-F36</f>
        <v>2996</v>
      </c>
      <c r="H37" s="132">
        <v>100</v>
      </c>
      <c r="I37" s="25">
        <v>-14500</v>
      </c>
      <c r="J37" s="25">
        <v>200</v>
      </c>
      <c r="K37" s="170">
        <f t="shared" si="3"/>
        <v>-14200</v>
      </c>
      <c r="L37" s="171">
        <v>-30</v>
      </c>
      <c r="M37" s="153"/>
      <c r="N37" s="149">
        <f>L37+K37+G37+M37</f>
        <v>-11234</v>
      </c>
      <c r="O37" s="67">
        <f t="shared" si="1"/>
        <v>1235385.7580645168</v>
      </c>
      <c r="P37" s="7">
        <f t="shared" si="4"/>
        <v>38296958.500000022</v>
      </c>
      <c r="Q37" s="164">
        <f>Q36+N37-3</f>
        <v>1393649.85</v>
      </c>
      <c r="R37" s="29">
        <f t="shared" si="2"/>
        <v>1090.558122654558</v>
      </c>
      <c r="S37" s="5">
        <f>SUM($Q$7:$Q37)/T37+1</f>
        <v>1405031.4629032265</v>
      </c>
      <c r="T37" s="18">
        <v>31</v>
      </c>
      <c r="U37" s="27"/>
      <c r="V37" s="137"/>
      <c r="W37" s="105">
        <v>-1262715</v>
      </c>
      <c r="X37" s="167"/>
      <c r="Y37" s="156">
        <f>Y36-K37-L37+1</f>
        <v>-1262715</v>
      </c>
      <c r="Z37" s="217"/>
      <c r="AA37" s="92"/>
      <c r="AD37" s="1"/>
      <c r="AE37" s="1"/>
    </row>
    <row r="38" spans="2:31">
      <c r="B38" s="116">
        <v>43603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1236305.3859375007</v>
      </c>
      <c r="P38" s="7">
        <f t="shared" si="4"/>
        <v>39561772.350000024</v>
      </c>
      <c r="Q38" s="164">
        <f t="shared" si="5"/>
        <v>1393649.85</v>
      </c>
      <c r="R38" s="29">
        <f t="shared" si="2"/>
        <v>1090.2813023921892</v>
      </c>
      <c r="S38" s="5">
        <f>SUM($Q$7:$Q38)/T38</f>
        <v>1404674.8187500008</v>
      </c>
      <c r="T38" s="18">
        <v>32</v>
      </c>
      <c r="U38" s="27"/>
      <c r="V38" s="137"/>
      <c r="W38" s="105">
        <v>-1262715</v>
      </c>
      <c r="X38" s="167"/>
      <c r="Y38" s="156">
        <f t="shared" si="7"/>
        <v>-1262715</v>
      </c>
      <c r="Z38" s="217"/>
      <c r="AD38" s="1"/>
      <c r="AE38" s="1"/>
    </row>
    <row r="39" spans="2:31">
      <c r="B39" s="116">
        <v>43604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1237169.2787878795</v>
      </c>
      <c r="P39" s="7">
        <f t="shared" si="4"/>
        <v>40826586.200000025</v>
      </c>
      <c r="Q39" s="164">
        <f t="shared" si="5"/>
        <v>1393649.85</v>
      </c>
      <c r="R39" s="29">
        <f t="shared" si="2"/>
        <v>1090.0219882547422</v>
      </c>
      <c r="S39" s="5">
        <f>SUM($Q$7:$Q39)/T39</f>
        <v>1404340.7287878797</v>
      </c>
      <c r="T39" s="18">
        <v>33</v>
      </c>
      <c r="U39" s="27"/>
      <c r="V39" s="137"/>
      <c r="W39" s="105">
        <v>-1262715</v>
      </c>
      <c r="X39" s="167"/>
      <c r="Y39" s="156">
        <f t="shared" si="7"/>
        <v>-1262715</v>
      </c>
      <c r="Z39" s="217"/>
      <c r="AD39" s="1"/>
      <c r="AE39" s="1"/>
    </row>
    <row r="40" spans="2:31">
      <c r="B40" s="116">
        <v>43605</v>
      </c>
      <c r="C40" s="14" t="str">
        <f t="shared" si="0"/>
        <v/>
      </c>
      <c r="D40" s="87"/>
      <c r="E40" s="87">
        <v>0</v>
      </c>
      <c r="F40" s="23">
        <v>-597074</v>
      </c>
      <c r="G40" s="26">
        <f>D40+E40+F40-E37-F37</f>
        <v>-4010</v>
      </c>
      <c r="H40" s="132">
        <v>-8900</v>
      </c>
      <c r="I40" s="25">
        <v>-4500</v>
      </c>
      <c r="J40" s="25">
        <v>100</v>
      </c>
      <c r="K40" s="170">
        <f t="shared" si="3"/>
        <v>-13300</v>
      </c>
      <c r="L40" s="171">
        <v>-39</v>
      </c>
      <c r="M40" s="153"/>
      <c r="N40" s="149">
        <f t="shared" si="6"/>
        <v>-17349</v>
      </c>
      <c r="O40" s="67">
        <f t="shared" si="1"/>
        <v>1237472.1191176479</v>
      </c>
      <c r="P40" s="7">
        <f t="shared" si="4"/>
        <v>42074052.050000027</v>
      </c>
      <c r="Q40" s="164">
        <f>Q39+N40+1</f>
        <v>1376301.85</v>
      </c>
      <c r="R40" s="29">
        <f t="shared" si="2"/>
        <v>1089.3818931683334</v>
      </c>
      <c r="S40" s="5">
        <f>SUM($Q$7:$Q40)/T40</f>
        <v>1403516.0558823538</v>
      </c>
      <c r="T40" s="18">
        <v>34</v>
      </c>
      <c r="U40" s="138">
        <f>B40</f>
        <v>43605</v>
      </c>
      <c r="V40" s="131">
        <v>1390.1</v>
      </c>
      <c r="W40" s="105">
        <v>-1249375</v>
      </c>
      <c r="X40" s="167">
        <f>AVERAGE(W40:W48)</f>
        <v>-1247416</v>
      </c>
      <c r="Y40" s="156">
        <f>Y39-K40-L40+1</f>
        <v>-1249375</v>
      </c>
      <c r="Z40" s="217">
        <f>AVERAGE(Y40:Y48)</f>
        <v>-1247416.2222222222</v>
      </c>
      <c r="AD40" s="1"/>
      <c r="AE40" s="1"/>
    </row>
    <row r="41" spans="2:31">
      <c r="B41" s="116">
        <v>43606</v>
      </c>
      <c r="C41" s="14" t="str">
        <f t="shared" ref="C41:C57" si="9">IF(OR(WEEKDAY(B41)=1,WEEKDAY(B41)=7),"F","")</f>
        <v/>
      </c>
      <c r="D41" s="87"/>
      <c r="E41" s="87">
        <v>0</v>
      </c>
      <c r="F41" s="23">
        <v>-584245</v>
      </c>
      <c r="G41" s="26">
        <f>D41+E41+F41-E40-F40</f>
        <v>12829</v>
      </c>
      <c r="H41" s="132">
        <v>-18800</v>
      </c>
      <c r="I41" s="25">
        <v>8800</v>
      </c>
      <c r="J41" s="25">
        <v>100</v>
      </c>
      <c r="K41" s="170">
        <f t="shared" si="3"/>
        <v>-9900</v>
      </c>
      <c r="L41" s="171">
        <v>-41</v>
      </c>
      <c r="M41" s="153"/>
      <c r="N41" s="149">
        <f>L41+K41+G41+M41</f>
        <v>2888</v>
      </c>
      <c r="O41" s="67">
        <f t="shared" si="1"/>
        <v>1237840.1685714293</v>
      </c>
      <c r="P41" s="7">
        <f t="shared" si="4"/>
        <v>43324405.900000028</v>
      </c>
      <c r="Q41" s="164">
        <f>Q40+N41</f>
        <v>1379189.85</v>
      </c>
      <c r="R41" s="29">
        <f t="shared" si="2"/>
        <v>1088.8424209293771</v>
      </c>
      <c r="S41" s="5">
        <f>SUM($Q$7:$Q41)/T41</f>
        <v>1402821.0214285722</v>
      </c>
      <c r="T41" s="18">
        <v>35</v>
      </c>
      <c r="U41" s="138">
        <f>B40+8</f>
        <v>43613</v>
      </c>
      <c r="V41" s="131">
        <v>1396.6</v>
      </c>
      <c r="W41" s="105">
        <v>-1239433</v>
      </c>
      <c r="X41" s="167"/>
      <c r="Y41" s="156">
        <f>Y40-K41-L41+1</f>
        <v>-1239433</v>
      </c>
      <c r="Z41" s="217"/>
      <c r="AD41" s="1"/>
      <c r="AE41" s="1"/>
    </row>
    <row r="42" spans="2:31">
      <c r="B42" s="116">
        <v>43607</v>
      </c>
      <c r="C42" s="14" t="str">
        <f t="shared" si="9"/>
        <v/>
      </c>
      <c r="D42" s="87">
        <f>-5399+4921</f>
        <v>-478</v>
      </c>
      <c r="E42" s="87">
        <v>4</v>
      </c>
      <c r="F42" s="23">
        <v>-576855</v>
      </c>
      <c r="G42" s="26">
        <f t="shared" ref="G42:G57" si="10">D42+E42+F42-E41-F41</f>
        <v>6916</v>
      </c>
      <c r="H42" s="132">
        <v>-300</v>
      </c>
      <c r="I42" s="25">
        <v>11200</v>
      </c>
      <c r="J42" s="25">
        <v>100</v>
      </c>
      <c r="K42" s="170">
        <f t="shared" ref="K42:K57" si="11">+H42+I42+J42</f>
        <v>11000</v>
      </c>
      <c r="L42" s="171">
        <v>27</v>
      </c>
      <c r="M42" s="153"/>
      <c r="N42" s="149">
        <f t="shared" ref="N42:N57" si="12">L42+K42+G42+M42</f>
        <v>17943</v>
      </c>
      <c r="O42" s="67">
        <f t="shared" ref="O42:O57" si="13">P42/T42</f>
        <v>1238686.2152777787</v>
      </c>
      <c r="P42" s="7">
        <f t="shared" si="4"/>
        <v>44592703.75000003</v>
      </c>
      <c r="Q42" s="164">
        <f t="shared" ref="Q42" si="14">Q41+N42+1</f>
        <v>1397133.85</v>
      </c>
      <c r="R42" s="29">
        <f t="shared" si="2"/>
        <v>1088.7198022636883</v>
      </c>
      <c r="S42" s="5">
        <f>SUM($Q$7:$Q42)/T42</f>
        <v>1402663.0444444453</v>
      </c>
      <c r="T42" s="18">
        <v>36</v>
      </c>
      <c r="U42" s="138"/>
      <c r="V42" s="131"/>
      <c r="W42" s="105">
        <v>-1250462</v>
      </c>
      <c r="X42" s="167"/>
      <c r="Y42" s="156">
        <f>Y41-K42-L42-2</f>
        <v>-1250462</v>
      </c>
      <c r="Z42" s="217"/>
      <c r="AD42" s="1"/>
      <c r="AE42" s="1"/>
    </row>
    <row r="43" spans="2:31">
      <c r="B43" s="116">
        <v>43608</v>
      </c>
      <c r="C43" s="14" t="str">
        <f t="shared" si="9"/>
        <v/>
      </c>
      <c r="D43" s="87"/>
      <c r="E43" s="87">
        <v>9</v>
      </c>
      <c r="F43" s="23">
        <v>-581371</v>
      </c>
      <c r="G43" s="26">
        <f t="shared" si="10"/>
        <v>-4511</v>
      </c>
      <c r="H43" s="132">
        <v>-1800</v>
      </c>
      <c r="I43" s="25">
        <v>-4300</v>
      </c>
      <c r="J43" s="25">
        <v>100</v>
      </c>
      <c r="K43" s="170">
        <f t="shared" si="11"/>
        <v>-6000</v>
      </c>
      <c r="L43" s="171">
        <v>-39</v>
      </c>
      <c r="M43" s="153"/>
      <c r="N43" s="149">
        <f t="shared" si="12"/>
        <v>-10550</v>
      </c>
      <c r="O43" s="67">
        <f t="shared" si="13"/>
        <v>1239201.3675675683</v>
      </c>
      <c r="P43" s="7">
        <f t="shared" si="4"/>
        <v>45850450.600000031</v>
      </c>
      <c r="Q43" s="164">
        <f>Q42+N43-1</f>
        <v>1386582.85</v>
      </c>
      <c r="R43" s="29">
        <f t="shared" si="2"/>
        <v>1088.3824743042283</v>
      </c>
      <c r="S43" s="5">
        <f>SUM($Q$7:$Q43)/T43</f>
        <v>1402228.4445945956</v>
      </c>
      <c r="T43" s="18">
        <v>37</v>
      </c>
      <c r="U43" s="138"/>
      <c r="V43" s="131"/>
      <c r="W43" s="105">
        <v>-1244422</v>
      </c>
      <c r="X43" s="167"/>
      <c r="Y43" s="156">
        <f t="shared" ref="Y43:Y51" si="15">Y42-K43-L43+1</f>
        <v>-1244422</v>
      </c>
      <c r="Z43" s="217"/>
      <c r="AD43" s="1"/>
      <c r="AE43" s="1"/>
    </row>
    <row r="44" spans="2:31">
      <c r="B44" s="116">
        <v>43609</v>
      </c>
      <c r="C44" s="14" t="str">
        <f t="shared" si="9"/>
        <v/>
      </c>
      <c r="D44" s="87"/>
      <c r="E44" s="87">
        <v>20</v>
      </c>
      <c r="F44" s="23">
        <v>-571308</v>
      </c>
      <c r="G44" s="26">
        <f t="shared" si="10"/>
        <v>10074</v>
      </c>
      <c r="H44" s="132">
        <v>200</v>
      </c>
      <c r="I44" s="25">
        <v>-1000</v>
      </c>
      <c r="J44" s="25">
        <v>100</v>
      </c>
      <c r="K44" s="170">
        <f t="shared" si="11"/>
        <v>-700</v>
      </c>
      <c r="L44" s="171">
        <v>30</v>
      </c>
      <c r="M44" s="153"/>
      <c r="N44" s="149">
        <f t="shared" si="12"/>
        <v>9404</v>
      </c>
      <c r="O44" s="67">
        <f t="shared" si="13"/>
        <v>1239936.8276315797</v>
      </c>
      <c r="P44" s="7">
        <f t="shared" si="4"/>
        <v>47117599.450000033</v>
      </c>
      <c r="Q44" s="164">
        <f>Q43+N44-2</f>
        <v>1395984.85</v>
      </c>
      <c r="R44" s="29">
        <f t="shared" si="2"/>
        <v>1088.2549438617198</v>
      </c>
      <c r="S44" s="5">
        <f>SUM($Q$7:$Q44)/T44</f>
        <v>1402064.1394736851</v>
      </c>
      <c r="T44" s="18">
        <v>38</v>
      </c>
      <c r="U44" s="138"/>
      <c r="V44" s="131"/>
      <c r="W44" s="105">
        <v>-1243751</v>
      </c>
      <c r="X44" s="167"/>
      <c r="Y44" s="156">
        <f t="shared" si="15"/>
        <v>-1243751</v>
      </c>
      <c r="Z44" s="217"/>
      <c r="AD44" s="1"/>
      <c r="AE44" s="1"/>
    </row>
    <row r="45" spans="2:31">
      <c r="B45" s="116">
        <v>43610</v>
      </c>
      <c r="C45" s="14" t="str">
        <f t="shared" si="9"/>
        <v>F</v>
      </c>
      <c r="D45" s="87"/>
      <c r="E45" s="87"/>
      <c r="F45" s="23"/>
      <c r="G45" s="26"/>
      <c r="H45" s="132"/>
      <c r="I45" s="25"/>
      <c r="J45" s="25"/>
      <c r="K45" s="170">
        <f t="shared" si="11"/>
        <v>0</v>
      </c>
      <c r="L45" s="171"/>
      <c r="M45" s="153"/>
      <c r="N45" s="149">
        <f t="shared" si="12"/>
        <v>0</v>
      </c>
      <c r="O45" s="67">
        <f t="shared" si="13"/>
        <v>1240634.5717948726</v>
      </c>
      <c r="P45" s="7">
        <f t="shared" si="4"/>
        <v>48384748.300000034</v>
      </c>
      <c r="Q45" s="164">
        <f>Q44+N45</f>
        <v>1395984.85</v>
      </c>
      <c r="R45" s="29">
        <f t="shared" si="2"/>
        <v>1088.1339534419039</v>
      </c>
      <c r="S45" s="5">
        <f>SUM($Q$7:$Q45)/T45</f>
        <v>1401908.2602564113</v>
      </c>
      <c r="T45" s="18">
        <v>39</v>
      </c>
      <c r="U45" s="138"/>
      <c r="V45" s="131"/>
      <c r="W45" s="105">
        <v>-1243751</v>
      </c>
      <c r="X45" s="167"/>
      <c r="Y45" s="156">
        <f>Y44-K45-L45</f>
        <v>-1243751</v>
      </c>
      <c r="Z45" s="217"/>
      <c r="AD45" s="1"/>
      <c r="AE45" s="1"/>
    </row>
    <row r="46" spans="2:31">
      <c r="B46" s="116">
        <v>43611</v>
      </c>
      <c r="C46" s="14" t="str">
        <f t="shared" si="9"/>
        <v>F</v>
      </c>
      <c r="D46" s="87"/>
      <c r="E46" s="87"/>
      <c r="F46" s="23"/>
      <c r="G46" s="26"/>
      <c r="H46" s="132"/>
      <c r="I46" s="25"/>
      <c r="J46" s="25"/>
      <c r="K46" s="170">
        <f t="shared" si="11"/>
        <v>0</v>
      </c>
      <c r="L46" s="171"/>
      <c r="M46" s="153"/>
      <c r="N46" s="149">
        <f t="shared" si="12"/>
        <v>0</v>
      </c>
      <c r="O46" s="67">
        <f t="shared" si="13"/>
        <v>1241297.4287500009</v>
      </c>
      <c r="P46" s="7">
        <f t="shared" si="4"/>
        <v>49651897.150000036</v>
      </c>
      <c r="Q46" s="164">
        <f>Q45+N46</f>
        <v>1395984.85</v>
      </c>
      <c r="R46" s="29">
        <f t="shared" si="2"/>
        <v>1088.0190125430788</v>
      </c>
      <c r="S46" s="5">
        <f>SUM($Q$7:$Q46)/T46</f>
        <v>1401760.175000001</v>
      </c>
      <c r="T46" s="18">
        <v>40</v>
      </c>
      <c r="U46" s="138"/>
      <c r="V46" s="131"/>
      <c r="W46" s="105">
        <v>-1243751</v>
      </c>
      <c r="X46" s="167"/>
      <c r="Y46" s="156">
        <f>Y45-K46-L46</f>
        <v>-1243751</v>
      </c>
      <c r="Z46" s="217"/>
      <c r="AD46" s="1"/>
      <c r="AE46" s="1"/>
    </row>
    <row r="47" spans="2:31">
      <c r="B47" s="116">
        <v>43612</v>
      </c>
      <c r="C47" s="14" t="str">
        <f t="shared" si="9"/>
        <v/>
      </c>
      <c r="D47" s="87"/>
      <c r="E47" s="87">
        <v>16</v>
      </c>
      <c r="F47" s="23">
        <v>-585811</v>
      </c>
      <c r="G47" s="26">
        <f>D47+E47+F47-E44-F44</f>
        <v>-14507</v>
      </c>
      <c r="H47" s="132">
        <v>700</v>
      </c>
      <c r="I47" s="25">
        <v>10700</v>
      </c>
      <c r="J47" s="25">
        <v>-1200</v>
      </c>
      <c r="K47" s="170">
        <f t="shared" si="11"/>
        <v>10200</v>
      </c>
      <c r="L47" s="171">
        <v>-46</v>
      </c>
      <c r="M47" s="153"/>
      <c r="N47" s="149">
        <f t="shared" si="12"/>
        <v>-4353</v>
      </c>
      <c r="O47" s="67">
        <f t="shared" si="13"/>
        <v>1241821.731707318</v>
      </c>
      <c r="P47" s="7">
        <f t="shared" si="4"/>
        <v>50914691.000000037</v>
      </c>
      <c r="Q47" s="164">
        <f>Q46+N47-2</f>
        <v>1391629.85</v>
      </c>
      <c r="R47" s="29">
        <f t="shared" si="2"/>
        <v>1087.8272329957776</v>
      </c>
      <c r="S47" s="5">
        <f>SUM($Q$7:$Q47)/T47</f>
        <v>1401513.09390244</v>
      </c>
      <c r="T47" s="18">
        <v>41</v>
      </c>
      <c r="U47" s="138">
        <f>B47</f>
        <v>43612</v>
      </c>
      <c r="V47" s="131" t="s">
        <v>268</v>
      </c>
      <c r="W47" s="105">
        <v>-1253902</v>
      </c>
      <c r="X47" s="167">
        <f>AVERAGE(W47:W55)</f>
        <v>-1283338.111111111</v>
      </c>
      <c r="Y47" s="156">
        <f t="shared" si="15"/>
        <v>-1253904</v>
      </c>
      <c r="Z47" s="217">
        <f>AVERAGE(Y47:Y55)</f>
        <v>-1283338.2222222222</v>
      </c>
      <c r="AD47" s="1"/>
      <c r="AE47" s="1"/>
    </row>
    <row r="48" spans="2:31">
      <c r="B48" s="116">
        <v>43613</v>
      </c>
      <c r="C48" s="14" t="str">
        <f t="shared" si="9"/>
        <v/>
      </c>
      <c r="D48" s="87"/>
      <c r="E48" s="87">
        <v>11</v>
      </c>
      <c r="F48" s="23">
        <v>-588632</v>
      </c>
      <c r="G48" s="26">
        <f>D48+E48+F48-E47-F47</f>
        <v>-2826</v>
      </c>
      <c r="H48" s="132">
        <v>700</v>
      </c>
      <c r="I48" s="25">
        <v>4500</v>
      </c>
      <c r="J48" s="25">
        <v>-1200</v>
      </c>
      <c r="K48" s="170">
        <f t="shared" si="11"/>
        <v>4000</v>
      </c>
      <c r="L48" s="171">
        <v>-6</v>
      </c>
      <c r="M48" s="153"/>
      <c r="N48" s="149">
        <f t="shared" si="12"/>
        <v>1168</v>
      </c>
      <c r="O48" s="67">
        <f t="shared" si="13"/>
        <v>1242348.9011904772</v>
      </c>
      <c r="P48" s="7">
        <f t="shared" si="4"/>
        <v>52178653.850000039</v>
      </c>
      <c r="Q48" s="164">
        <f>Q47+N48+1</f>
        <v>1392798.85</v>
      </c>
      <c r="R48" s="29">
        <f t="shared" si="2"/>
        <v>1087.6661895004213</v>
      </c>
      <c r="S48" s="5">
        <f>SUM($Q$7:$Q48)/T48</f>
        <v>1401305.6119047629</v>
      </c>
      <c r="T48" s="18">
        <v>42</v>
      </c>
      <c r="U48" s="138">
        <f>B47+8</f>
        <v>43620</v>
      </c>
      <c r="V48" s="131">
        <v>1347.9</v>
      </c>
      <c r="W48" s="105">
        <v>-1257897</v>
      </c>
      <c r="X48" s="167"/>
      <c r="Y48" s="156">
        <f t="shared" si="15"/>
        <v>-1257897</v>
      </c>
      <c r="Z48" s="217"/>
      <c r="AD48" s="1"/>
      <c r="AE48" s="1"/>
    </row>
    <row r="49" spans="2:31">
      <c r="B49" s="116">
        <v>43614</v>
      </c>
      <c r="C49" s="14" t="str">
        <f t="shared" si="9"/>
        <v/>
      </c>
      <c r="D49" s="87">
        <f>-4921+6128</f>
        <v>1207</v>
      </c>
      <c r="E49" s="87">
        <v>0</v>
      </c>
      <c r="F49" s="23">
        <v>-595099</v>
      </c>
      <c r="G49" s="26">
        <f t="shared" si="10"/>
        <v>-5271</v>
      </c>
      <c r="H49" s="132">
        <v>700</v>
      </c>
      <c r="I49" s="25">
        <v>6700</v>
      </c>
      <c r="J49" s="25">
        <v>-1200</v>
      </c>
      <c r="K49" s="170">
        <f t="shared" si="11"/>
        <v>6200</v>
      </c>
      <c r="L49" s="171">
        <v>31</v>
      </c>
      <c r="M49" s="153"/>
      <c r="N49" s="149">
        <f t="shared" si="12"/>
        <v>960</v>
      </c>
      <c r="O49" s="67">
        <f t="shared" si="13"/>
        <v>1242873.9000000008</v>
      </c>
      <c r="P49" s="7">
        <f t="shared" si="4"/>
        <v>53443577.70000004</v>
      </c>
      <c r="Q49" s="164">
        <f>Q48+N49+1</f>
        <v>1393759.85</v>
      </c>
      <c r="R49" s="29">
        <f t="shared" si="2"/>
        <v>1087.5299831334164</v>
      </c>
      <c r="S49" s="5">
        <f>SUM($Q$7:$Q49)/T49</f>
        <v>1401130.1290697684</v>
      </c>
      <c r="T49" s="18">
        <v>43</v>
      </c>
      <c r="U49" s="138"/>
      <c r="V49" s="131"/>
      <c r="W49" s="105">
        <v>-1264128</v>
      </c>
      <c r="X49" s="167"/>
      <c r="Y49" s="156">
        <f>Y48-K49-L49</f>
        <v>-1264128</v>
      </c>
      <c r="Z49" s="217"/>
      <c r="AD49" s="1"/>
      <c r="AE49" s="1"/>
    </row>
    <row r="50" spans="2:31">
      <c r="B50" s="116">
        <v>43615</v>
      </c>
      <c r="C50" s="14" t="str">
        <f t="shared" si="9"/>
        <v/>
      </c>
      <c r="D50" s="87">
        <f>-1319+1398.5</f>
        <v>79.5</v>
      </c>
      <c r="E50" s="87">
        <v>1</v>
      </c>
      <c r="F50" s="23">
        <v>-586862</v>
      </c>
      <c r="G50" s="26">
        <f t="shared" si="10"/>
        <v>8317.5</v>
      </c>
      <c r="H50" s="132">
        <v>7400</v>
      </c>
      <c r="I50" s="25">
        <v>6200</v>
      </c>
      <c r="J50" s="25">
        <v>-1300</v>
      </c>
      <c r="K50" s="170">
        <f t="shared" si="11"/>
        <v>12300</v>
      </c>
      <c r="L50" s="171">
        <v>-30</v>
      </c>
      <c r="M50" s="153"/>
      <c r="N50" s="149">
        <f t="shared" si="12"/>
        <v>20587.5</v>
      </c>
      <c r="O50" s="67">
        <f t="shared" si="13"/>
        <v>1243842.9556818192</v>
      </c>
      <c r="P50" s="7">
        <f t="shared" si="4"/>
        <v>54729090.050000042</v>
      </c>
      <c r="Q50" s="164">
        <f>Q49+N50+1</f>
        <v>1414348.35</v>
      </c>
      <c r="R50" s="29">
        <f t="shared" si="2"/>
        <v>1087.7631587303388</v>
      </c>
      <c r="S50" s="5">
        <f>SUM($Q$7:$Q50)/T50</f>
        <v>1401430.5431818191</v>
      </c>
      <c r="T50" s="18">
        <v>44</v>
      </c>
      <c r="U50" s="138"/>
      <c r="V50" s="131"/>
      <c r="W50" s="105">
        <v>-1276398</v>
      </c>
      <c r="X50" s="167"/>
      <c r="Y50" s="156">
        <f>Y49-K50-L50</f>
        <v>-1276398</v>
      </c>
      <c r="Z50" s="217"/>
      <c r="AD50" s="1"/>
      <c r="AE50" s="1"/>
    </row>
    <row r="51" spans="2:31">
      <c r="B51" s="116">
        <v>43616</v>
      </c>
      <c r="C51" s="14" t="str">
        <f t="shared" si="9"/>
        <v/>
      </c>
      <c r="D51" s="87"/>
      <c r="E51" s="87">
        <v>120</v>
      </c>
      <c r="F51" s="23">
        <v>-625984</v>
      </c>
      <c r="G51" s="26">
        <f t="shared" si="10"/>
        <v>-39003</v>
      </c>
      <c r="H51" s="132">
        <v>700</v>
      </c>
      <c r="I51" s="25">
        <v>13800</v>
      </c>
      <c r="J51" s="25">
        <v>-1300</v>
      </c>
      <c r="K51" s="170">
        <f t="shared" si="11"/>
        <v>13200</v>
      </c>
      <c r="L51" s="171">
        <v>1</v>
      </c>
      <c r="M51" s="153"/>
      <c r="N51" s="149">
        <f t="shared" si="12"/>
        <v>-25802</v>
      </c>
      <c r="O51" s="67">
        <f t="shared" si="13"/>
        <v>1244195.5422222232</v>
      </c>
      <c r="P51" s="7">
        <f t="shared" si="4"/>
        <v>55988799.400000043</v>
      </c>
      <c r="Q51" s="164">
        <f>Q50+N51-1</f>
        <v>1388545.35</v>
      </c>
      <c r="R51" s="29">
        <f t="shared" si="2"/>
        <v>1087.5409090281883</v>
      </c>
      <c r="S51" s="5">
        <f>SUM($Q$7:$Q51)/T51</f>
        <v>1401144.2055555566</v>
      </c>
      <c r="T51" s="18">
        <v>45</v>
      </c>
      <c r="U51" s="138"/>
      <c r="V51" s="131"/>
      <c r="W51" s="105">
        <v>-1289598</v>
      </c>
      <c r="X51" s="167"/>
      <c r="Y51" s="156">
        <f t="shared" si="15"/>
        <v>-1289598</v>
      </c>
      <c r="Z51" s="217"/>
      <c r="AD51" s="1"/>
      <c r="AE51" s="1"/>
    </row>
    <row r="52" spans="2:31">
      <c r="B52" s="116">
        <v>43617</v>
      </c>
      <c r="C52" s="14" t="str">
        <f t="shared" si="9"/>
        <v>F</v>
      </c>
      <c r="D52" s="87"/>
      <c r="E52" s="87"/>
      <c r="F52" s="23"/>
      <c r="G52" s="26"/>
      <c r="H52" s="132"/>
      <c r="I52" s="25"/>
      <c r="J52" s="25"/>
      <c r="K52" s="170">
        <f t="shared" si="11"/>
        <v>0</v>
      </c>
      <c r="L52" s="171"/>
      <c r="M52" s="153"/>
      <c r="N52" s="149">
        <f t="shared" si="12"/>
        <v>0</v>
      </c>
      <c r="O52" s="67">
        <f t="shared" si="13"/>
        <v>1244532.7989130444</v>
      </c>
      <c r="P52" s="7">
        <f t="shared" si="4"/>
        <v>57248508.750000045</v>
      </c>
      <c r="Q52" s="164">
        <f t="shared" ref="Q52:Q53" si="16">Q51+N52</f>
        <v>1388545.35</v>
      </c>
      <c r="R52" s="29">
        <f t="shared" si="2"/>
        <v>1087.3283223565661</v>
      </c>
      <c r="S52" s="5">
        <f>SUM($Q$7:$Q52)/T52</f>
        <v>1400870.3173913055</v>
      </c>
      <c r="T52" s="18">
        <v>46</v>
      </c>
      <c r="U52" s="138"/>
      <c r="V52" s="131"/>
      <c r="W52" s="105">
        <v>-1289598</v>
      </c>
      <c r="X52" s="167"/>
      <c r="Y52" s="156">
        <f t="shared" ref="Y52:Y60" si="17">Y51-K52-L52</f>
        <v>-1289598</v>
      </c>
      <c r="Z52" s="217"/>
      <c r="AD52" s="1"/>
      <c r="AE52" s="1"/>
    </row>
    <row r="53" spans="2:31">
      <c r="B53" s="116">
        <v>43618</v>
      </c>
      <c r="C53" s="14" t="str">
        <f t="shared" si="9"/>
        <v>F</v>
      </c>
      <c r="D53" s="87"/>
      <c r="E53" s="87"/>
      <c r="F53" s="23"/>
      <c r="G53" s="26"/>
      <c r="H53" s="132"/>
      <c r="I53" s="25"/>
      <c r="J53" s="25"/>
      <c r="K53" s="170">
        <f t="shared" si="11"/>
        <v>0</v>
      </c>
      <c r="L53" s="171"/>
      <c r="M53" s="153"/>
      <c r="N53" s="149">
        <f t="shared" si="12"/>
        <v>0</v>
      </c>
      <c r="O53" s="67">
        <f t="shared" si="13"/>
        <v>1244855.7042553201</v>
      </c>
      <c r="P53" s="7">
        <f t="shared" si="4"/>
        <v>58508218.100000046</v>
      </c>
      <c r="Q53" s="164">
        <f t="shared" si="16"/>
        <v>1388545.35</v>
      </c>
      <c r="R53" s="29">
        <f t="shared" si="2"/>
        <v>1087.1247819262894</v>
      </c>
      <c r="S53" s="5">
        <f>SUM($Q$7:$Q53)/T53</f>
        <v>1400608.0840425543</v>
      </c>
      <c r="T53" s="18">
        <v>47</v>
      </c>
      <c r="U53" s="138"/>
      <c r="V53" s="131"/>
      <c r="W53" s="105">
        <v>-1289598</v>
      </c>
      <c r="X53" s="167"/>
      <c r="Y53" s="156">
        <f t="shared" si="17"/>
        <v>-1289598</v>
      </c>
      <c r="Z53" s="217"/>
      <c r="AD53" s="1"/>
      <c r="AE53" s="1"/>
    </row>
    <row r="54" spans="2:31">
      <c r="B54" s="116">
        <v>43619</v>
      </c>
      <c r="C54" s="14" t="str">
        <f t="shared" si="9"/>
        <v/>
      </c>
      <c r="D54" s="87"/>
      <c r="E54" s="87">
        <v>0</v>
      </c>
      <c r="F54" s="23">
        <v>-626761</v>
      </c>
      <c r="G54" s="26">
        <f>D54+E54+F54-E51-F51</f>
        <v>-897</v>
      </c>
      <c r="H54" s="132">
        <v>2700</v>
      </c>
      <c r="I54" s="25">
        <v>23800</v>
      </c>
      <c r="J54" s="25">
        <v>-500</v>
      </c>
      <c r="K54" s="170">
        <f t="shared" si="11"/>
        <v>26000</v>
      </c>
      <c r="L54" s="171">
        <v>3</v>
      </c>
      <c r="M54" s="153"/>
      <c r="N54" s="149">
        <f t="shared" si="12"/>
        <v>25106</v>
      </c>
      <c r="O54" s="67">
        <f t="shared" si="13"/>
        <v>1245688.1760416676</v>
      </c>
      <c r="P54" s="7">
        <f t="shared" si="4"/>
        <v>59793032.450000048</v>
      </c>
      <c r="Q54" s="164">
        <f>Q53+N54-1</f>
        <v>1413650.35</v>
      </c>
      <c r="R54" s="29">
        <f t="shared" si="2"/>
        <v>1087.3356809561517</v>
      </c>
      <c r="S54" s="5">
        <f>SUM($Q$7:$Q54)/T54</f>
        <v>1400879.7979166675</v>
      </c>
      <c r="T54" s="18">
        <v>48</v>
      </c>
      <c r="U54" s="138">
        <f>B54</f>
        <v>43619</v>
      </c>
      <c r="V54" s="131" t="s">
        <v>269</v>
      </c>
      <c r="W54" s="105">
        <v>-1315601</v>
      </c>
      <c r="X54" s="167">
        <f>AVERAGE(W54:W62)</f>
        <v>-1311233.6666666667</v>
      </c>
      <c r="Y54" s="156">
        <f t="shared" si="17"/>
        <v>-1315601</v>
      </c>
      <c r="Z54" s="217">
        <f>AVERAGE(Y54:Y62)</f>
        <v>-1310103.111111111</v>
      </c>
      <c r="AD54" s="1"/>
      <c r="AE54" s="1"/>
    </row>
    <row r="55" spans="2:31">
      <c r="B55" s="116">
        <v>43620</v>
      </c>
      <c r="C55" s="14" t="str">
        <f t="shared" si="9"/>
        <v/>
      </c>
      <c r="D55" s="87"/>
      <c r="E55" s="87">
        <v>0</v>
      </c>
      <c r="F55" s="23">
        <v>-622381</v>
      </c>
      <c r="G55" s="26">
        <f t="shared" si="10"/>
        <v>4380</v>
      </c>
      <c r="H55" s="132">
        <v>700</v>
      </c>
      <c r="I55" s="25">
        <v>-2400</v>
      </c>
      <c r="J55" s="25">
        <v>-600</v>
      </c>
      <c r="K55" s="170">
        <f t="shared" si="11"/>
        <v>-2300</v>
      </c>
      <c r="L55" s="171">
        <v>22</v>
      </c>
      <c r="M55" s="153"/>
      <c r="N55" s="149">
        <f t="shared" si="12"/>
        <v>2102</v>
      </c>
      <c r="O55" s="67">
        <f t="shared" si="13"/>
        <v>1246529.5673469398</v>
      </c>
      <c r="P55" s="7">
        <f t="shared" si="4"/>
        <v>61079948.800000049</v>
      </c>
      <c r="Q55" s="164">
        <f t="shared" ref="Q55:Q61" si="18">Q54+N55</f>
        <v>1415752.35</v>
      </c>
      <c r="R55" s="29">
        <f t="shared" si="2"/>
        <v>1087.5712684247849</v>
      </c>
      <c r="S55" s="5">
        <f>SUM($Q$7:$Q55)/T55</f>
        <v>1401183.3193877558</v>
      </c>
      <c r="T55" s="18">
        <v>49</v>
      </c>
      <c r="U55" s="138">
        <f>B54+8</f>
        <v>43627</v>
      </c>
      <c r="V55" s="131">
        <v>1311.7</v>
      </c>
      <c r="W55" s="105">
        <v>-1313323</v>
      </c>
      <c r="X55" s="167"/>
      <c r="Y55" s="156">
        <f>Y54-K55-L55+1</f>
        <v>-1313322</v>
      </c>
      <c r="Z55" s="217"/>
      <c r="AD55" s="1"/>
      <c r="AE55" s="1"/>
    </row>
    <row r="56" spans="2:31">
      <c r="B56" s="116">
        <v>43621</v>
      </c>
      <c r="C56" s="14" t="str">
        <f t="shared" si="9"/>
        <v/>
      </c>
      <c r="D56" s="87">
        <f>-6128+5276</f>
        <v>-852</v>
      </c>
      <c r="E56" s="87">
        <v>80</v>
      </c>
      <c r="F56" s="23">
        <v>-599466</v>
      </c>
      <c r="G56" s="26">
        <f t="shared" si="10"/>
        <v>22143</v>
      </c>
      <c r="H56" s="132">
        <v>700</v>
      </c>
      <c r="I56" s="25">
        <v>-4800</v>
      </c>
      <c r="J56" s="25">
        <v>-600</v>
      </c>
      <c r="K56" s="170">
        <f t="shared" si="11"/>
        <v>-4700</v>
      </c>
      <c r="L56" s="171">
        <v>29</v>
      </c>
      <c r="M56" s="153"/>
      <c r="N56" s="149">
        <f t="shared" si="12"/>
        <v>17472</v>
      </c>
      <c r="O56" s="67">
        <f t="shared" si="13"/>
        <v>1247686.7430000009</v>
      </c>
      <c r="P56" s="7">
        <f t="shared" si="4"/>
        <v>62384337.150000051</v>
      </c>
      <c r="Q56" s="164">
        <f t="shared" si="18"/>
        <v>1433224.35</v>
      </c>
      <c r="R56" s="29">
        <f t="shared" si="2"/>
        <v>1088.0686609332799</v>
      </c>
      <c r="S56" s="5">
        <f>SUM($Q$7:$Q56)/T56</f>
        <v>1401824.1400000006</v>
      </c>
      <c r="T56" s="18">
        <v>50</v>
      </c>
      <c r="U56" s="138"/>
      <c r="V56" s="131"/>
      <c r="W56" s="105">
        <v>-1318823</v>
      </c>
      <c r="X56" s="167"/>
      <c r="Y56" s="156">
        <f>Y55-K56-L56+1</f>
        <v>-1308650</v>
      </c>
      <c r="Z56" s="217"/>
      <c r="AD56" s="1"/>
      <c r="AE56" s="1"/>
    </row>
    <row r="57" spans="2:31" ht="14.25" customHeight="1">
      <c r="B57" s="116">
        <v>43622</v>
      </c>
      <c r="C57" s="14" t="str">
        <f t="shared" si="9"/>
        <v/>
      </c>
      <c r="D57" s="87"/>
      <c r="E57" s="87">
        <v>61</v>
      </c>
      <c r="F57" s="23">
        <v>-602741</v>
      </c>
      <c r="G57" s="26">
        <f t="shared" si="10"/>
        <v>-3294</v>
      </c>
      <c r="H57" s="132">
        <v>700</v>
      </c>
      <c r="I57" s="25">
        <v>-400</v>
      </c>
      <c r="J57" s="25">
        <v>-600</v>
      </c>
      <c r="K57" s="170">
        <f t="shared" si="11"/>
        <v>-300</v>
      </c>
      <c r="L57" s="171">
        <v>-15</v>
      </c>
      <c r="M57" s="153"/>
      <c r="N57" s="149">
        <f t="shared" si="12"/>
        <v>-3609</v>
      </c>
      <c r="O57" s="67">
        <f t="shared" si="13"/>
        <v>1248727.7156862756</v>
      </c>
      <c r="P57" s="7">
        <f t="shared" si="4"/>
        <v>63685113.500000052</v>
      </c>
      <c r="Q57" s="164">
        <f>Q56+N57-3</f>
        <v>1429612.35</v>
      </c>
      <c r="R57" s="29">
        <f t="shared" si="2"/>
        <v>1088.4915760057324</v>
      </c>
      <c r="S57" s="5">
        <f>SUM($Q$7:$Q57)/T57</f>
        <v>1402369.0068627456</v>
      </c>
      <c r="T57" s="18">
        <v>51</v>
      </c>
      <c r="U57" s="138"/>
      <c r="V57" s="131"/>
      <c r="W57" s="105">
        <v>-1308337</v>
      </c>
      <c r="X57" s="167"/>
      <c r="Y57" s="156">
        <f>Y56-K57-L57+1</f>
        <v>-1308334</v>
      </c>
      <c r="Z57" s="217"/>
      <c r="AD57" s="1"/>
      <c r="AE57" s="1"/>
    </row>
    <row r="58" spans="2:31" ht="14.25" customHeight="1">
      <c r="B58" s="116">
        <v>43623</v>
      </c>
      <c r="C58" s="14" t="str">
        <f t="shared" ref="C58:C62" si="19">IF(OR(WEEKDAY(B58)=1,WEEKDAY(B58)=7),"F","")</f>
        <v/>
      </c>
      <c r="D58" s="87"/>
      <c r="E58" s="87">
        <v>0</v>
      </c>
      <c r="F58" s="23">
        <v>-602365</v>
      </c>
      <c r="G58" s="26">
        <f>D58+E58+F58-E57-F57</f>
        <v>315</v>
      </c>
      <c r="H58" s="132">
        <v>700</v>
      </c>
      <c r="I58" s="25">
        <v>11100</v>
      </c>
      <c r="J58" s="25">
        <v>-600</v>
      </c>
      <c r="K58" s="170">
        <f t="shared" ref="K58:K62" si="20">+H58+I58+J58</f>
        <v>11200</v>
      </c>
      <c r="L58" s="171">
        <v>21</v>
      </c>
      <c r="M58" s="153"/>
      <c r="N58" s="149">
        <f t="shared" ref="N58:N62" si="21">L58+K58+G58+M58</f>
        <v>11536</v>
      </c>
      <c r="O58" s="67">
        <f t="shared" ref="O58:O62" si="22">P58/T58</f>
        <v>1249950.4778846165</v>
      </c>
      <c r="P58" s="7">
        <f t="shared" si="4"/>
        <v>64997424.850000054</v>
      </c>
      <c r="Q58" s="164">
        <f>Q57+N58-1</f>
        <v>1441147.35</v>
      </c>
      <c r="R58" s="29">
        <f t="shared" si="2"/>
        <v>1089.070402861599</v>
      </c>
      <c r="S58" s="5">
        <f>SUM($Q$7:$Q58)/T58</f>
        <v>1403114.7442307696</v>
      </c>
      <c r="T58" s="18">
        <v>52</v>
      </c>
      <c r="U58" s="138"/>
      <c r="V58" s="131"/>
      <c r="W58" s="105">
        <v>-1319554</v>
      </c>
      <c r="X58" s="167"/>
      <c r="Y58" s="156">
        <f>Y57-K58-L58+1</f>
        <v>-1319554</v>
      </c>
      <c r="Z58" s="217"/>
      <c r="AD58" s="1"/>
      <c r="AE58" s="1"/>
    </row>
    <row r="59" spans="2:31" ht="14.25" customHeight="1">
      <c r="B59" s="116">
        <v>43624</v>
      </c>
      <c r="C59" s="14" t="str">
        <f t="shared" si="19"/>
        <v>F</v>
      </c>
      <c r="D59" s="87"/>
      <c r="E59" s="87"/>
      <c r="F59" s="23"/>
      <c r="G59" s="26"/>
      <c r="H59" s="132"/>
      <c r="I59" s="25"/>
      <c r="J59" s="25"/>
      <c r="K59" s="170">
        <f t="shared" si="20"/>
        <v>0</v>
      </c>
      <c r="L59" s="171"/>
      <c r="M59" s="153"/>
      <c r="N59" s="149">
        <f t="shared" si="21"/>
        <v>0</v>
      </c>
      <c r="O59" s="67">
        <f t="shared" si="22"/>
        <v>1251127.0981132085</v>
      </c>
      <c r="P59" s="7">
        <f t="shared" si="4"/>
        <v>66309736.200000055</v>
      </c>
      <c r="Q59" s="164">
        <f t="shared" si="18"/>
        <v>1441147.35</v>
      </c>
      <c r="R59" s="29">
        <f t="shared" si="2"/>
        <v>1089.6273871946023</v>
      </c>
      <c r="S59" s="5">
        <f>SUM($Q$7:$Q59)/T59</f>
        <v>1403832.3405660379</v>
      </c>
      <c r="T59" s="18">
        <v>53</v>
      </c>
      <c r="U59" s="138"/>
      <c r="V59" s="131"/>
      <c r="W59" s="105">
        <v>-1319554</v>
      </c>
      <c r="X59" s="167"/>
      <c r="Y59" s="156">
        <f t="shared" si="17"/>
        <v>-1319554</v>
      </c>
      <c r="Z59" s="217"/>
      <c r="AD59" s="1"/>
      <c r="AE59" s="1"/>
    </row>
    <row r="60" spans="2:31" ht="14.25" customHeight="1">
      <c r="B60" s="116">
        <v>43625</v>
      </c>
      <c r="C60" s="14" t="str">
        <f t="shared" si="19"/>
        <v>F</v>
      </c>
      <c r="D60" s="87"/>
      <c r="E60" s="87"/>
      <c r="F60" s="23"/>
      <c r="G60" s="26"/>
      <c r="H60" s="132"/>
      <c r="I60" s="25"/>
      <c r="J60" s="25"/>
      <c r="K60" s="170">
        <f t="shared" si="20"/>
        <v>0</v>
      </c>
      <c r="L60" s="171"/>
      <c r="M60" s="153"/>
      <c r="N60" s="149">
        <f t="shared" si="21"/>
        <v>0</v>
      </c>
      <c r="O60" s="67">
        <f t="shared" si="22"/>
        <v>1252260.1398148159</v>
      </c>
      <c r="P60" s="7">
        <f t="shared" si="4"/>
        <v>67622047.550000057</v>
      </c>
      <c r="Q60" s="164">
        <f t="shared" si="18"/>
        <v>1441147.35</v>
      </c>
      <c r="R60" s="29">
        <f t="shared" si="2"/>
        <v>1090.1637424782355</v>
      </c>
      <c r="S60" s="5">
        <f>SUM($Q$7:$Q60)/T60</f>
        <v>1404523.3592592594</v>
      </c>
      <c r="T60" s="18">
        <v>54</v>
      </c>
      <c r="U60" s="138"/>
      <c r="V60" s="131"/>
      <c r="W60" s="105">
        <v>-1319554</v>
      </c>
      <c r="X60" s="167"/>
      <c r="Y60" s="156">
        <f t="shared" si="17"/>
        <v>-1319554</v>
      </c>
      <c r="Z60" s="217"/>
      <c r="AD60" s="1"/>
      <c r="AE60" s="1"/>
    </row>
    <row r="61" spans="2:31" ht="14.25" customHeight="1">
      <c r="B61" s="116">
        <v>43626</v>
      </c>
      <c r="C61" s="14" t="str">
        <f t="shared" si="19"/>
        <v/>
      </c>
      <c r="D61" s="87"/>
      <c r="E61" s="87">
        <v>4</v>
      </c>
      <c r="F61" s="23">
        <v>-607055</v>
      </c>
      <c r="G61" s="26">
        <f>D61+E61+F61-E58-F58</f>
        <v>-4686</v>
      </c>
      <c r="H61" s="132">
        <v>700</v>
      </c>
      <c r="I61" s="25">
        <v>-22900</v>
      </c>
      <c r="J61" s="25">
        <v>100</v>
      </c>
      <c r="K61" s="170">
        <f t="shared" si="20"/>
        <v>-22100</v>
      </c>
      <c r="L61" s="171">
        <v>-36</v>
      </c>
      <c r="M61" s="153"/>
      <c r="N61" s="149">
        <f t="shared" si="21"/>
        <v>-26822</v>
      </c>
      <c r="O61" s="67">
        <f t="shared" si="22"/>
        <v>1252864.3072727283</v>
      </c>
      <c r="P61" s="7">
        <f t="shared" si="4"/>
        <v>68907536.900000051</v>
      </c>
      <c r="Q61" s="164">
        <f t="shared" si="18"/>
        <v>1414325.35</v>
      </c>
      <c r="R61" s="29">
        <f t="shared" si="2"/>
        <v>1090.3020718376288</v>
      </c>
      <c r="S61" s="5">
        <f>SUM($Q$7:$Q61)/T61</f>
        <v>1404701.5772727274</v>
      </c>
      <c r="T61" s="18">
        <v>55</v>
      </c>
      <c r="U61" s="138"/>
      <c r="V61" s="131"/>
      <c r="W61" s="105">
        <v>-1297417</v>
      </c>
      <c r="X61" s="167"/>
      <c r="Y61" s="156">
        <f>Y60-K61-L61+1</f>
        <v>-1297417</v>
      </c>
      <c r="Z61" s="217"/>
      <c r="AD61" s="1"/>
      <c r="AE61" s="1"/>
    </row>
    <row r="62" spans="2:31" ht="14.25" customHeight="1">
      <c r="B62" s="116">
        <v>43627</v>
      </c>
      <c r="C62" s="14" t="str">
        <f t="shared" si="19"/>
        <v/>
      </c>
      <c r="D62" s="87"/>
      <c r="E62" s="87">
        <v>205</v>
      </c>
      <c r="F62" s="23">
        <v>-612662</v>
      </c>
      <c r="G62" s="26">
        <f t="shared" ref="G62" si="23">D62+E62+F62-E61-F61</f>
        <v>-5406</v>
      </c>
      <c r="H62" s="132">
        <v>700</v>
      </c>
      <c r="I62" s="25">
        <v>-9300</v>
      </c>
      <c r="J62" s="25">
        <v>100</v>
      </c>
      <c r="K62" s="170">
        <f t="shared" si="20"/>
        <v>-8500</v>
      </c>
      <c r="L62" s="171">
        <v>24</v>
      </c>
      <c r="M62" s="153"/>
      <c r="N62" s="149">
        <f t="shared" si="21"/>
        <v>-13882</v>
      </c>
      <c r="O62" s="67">
        <f t="shared" si="22"/>
        <v>1253198.9687500007</v>
      </c>
      <c r="P62" s="7">
        <f t="shared" si="4"/>
        <v>70179142.250000045</v>
      </c>
      <c r="Q62" s="164">
        <f>Q61+N62-2</f>
        <v>1400441.35</v>
      </c>
      <c r="R62" s="29">
        <f t="shared" si="2"/>
        <v>1090.2430235227066</v>
      </c>
      <c r="S62" s="5">
        <f>SUM($Q$7:$Q62)/T62</f>
        <v>1404625.5017857142</v>
      </c>
      <c r="T62" s="18">
        <v>56</v>
      </c>
      <c r="U62" s="138"/>
      <c r="V62" s="131"/>
      <c r="W62" s="105">
        <v>-1288940</v>
      </c>
      <c r="X62" s="167"/>
      <c r="Y62" s="156">
        <f>Y61-K62-L62-1</f>
        <v>-1288942</v>
      </c>
      <c r="Z62" s="217"/>
      <c r="AD62" s="1"/>
      <c r="AE62" s="1"/>
    </row>
    <row r="63" spans="2:31">
      <c r="C63" s="175"/>
      <c r="D63" s="176"/>
      <c r="E63" s="176"/>
      <c r="F63" s="104"/>
      <c r="G63" s="177"/>
      <c r="H63" s="104"/>
      <c r="I63" s="104"/>
      <c r="J63" s="104"/>
      <c r="K63" s="178"/>
      <c r="L63" s="179"/>
      <c r="M63" s="180"/>
      <c r="N63" s="181"/>
      <c r="O63" s="181"/>
      <c r="P63" s="182"/>
      <c r="Q63" s="183"/>
      <c r="R63" s="184"/>
      <c r="S63" s="6"/>
      <c r="T63" s="182"/>
      <c r="U63" s="185"/>
      <c r="V63" s="243"/>
      <c r="W63" s="187"/>
      <c r="X63" s="188"/>
      <c r="Y63" s="181"/>
      <c r="Z63" s="188"/>
      <c r="AD63" s="1"/>
      <c r="AE63" s="1"/>
    </row>
    <row r="64" spans="2:31" ht="12.75" thickBot="1">
      <c r="B64" s="193"/>
      <c r="C64" s="175"/>
      <c r="D64" s="176"/>
      <c r="E64" s="176"/>
      <c r="F64" s="104"/>
      <c r="G64" s="177"/>
      <c r="H64" s="104"/>
      <c r="I64" s="104"/>
      <c r="J64" s="104"/>
      <c r="K64" s="178"/>
      <c r="L64" s="179"/>
      <c r="M64" s="180"/>
      <c r="N64" s="181"/>
      <c r="O64" s="181"/>
      <c r="P64" s="182"/>
      <c r="Q64" s="183"/>
      <c r="R64" s="184"/>
      <c r="S64" s="6"/>
      <c r="T64" s="182"/>
      <c r="U64" s="185"/>
      <c r="V64" s="243"/>
      <c r="W64" s="187"/>
      <c r="X64" s="188"/>
      <c r="Y64" s="181"/>
      <c r="Z64" s="188"/>
      <c r="AD64" s="1"/>
      <c r="AE64" s="1"/>
    </row>
    <row r="65" spans="2:14" ht="13.5" thickTop="1" thickBot="1">
      <c r="B65" s="193"/>
      <c r="C65" s="30"/>
      <c r="D65" s="141" t="s">
        <v>58</v>
      </c>
      <c r="E65" s="20"/>
      <c r="F65" s="21"/>
      <c r="G65" s="22"/>
      <c r="H65" s="11"/>
      <c r="I65" s="11"/>
      <c r="J65" s="11"/>
      <c r="K65" s="12"/>
      <c r="L65" s="11"/>
      <c r="M65" s="11"/>
      <c r="N65" s="4"/>
    </row>
    <row r="66" spans="2:14" ht="12.75" thickTop="1">
      <c r="D66" s="27" t="s">
        <v>59</v>
      </c>
      <c r="E66" s="139"/>
      <c r="F66" s="142"/>
      <c r="G66" s="90">
        <f>'March 2019'!Q41</f>
        <v>1378498.85</v>
      </c>
      <c r="H66" s="11"/>
      <c r="I66" s="11"/>
      <c r="J66" s="11"/>
      <c r="K66" s="12"/>
      <c r="L66" s="12"/>
      <c r="M66" s="12"/>
      <c r="N66" s="4"/>
    </row>
    <row r="67" spans="2:14">
      <c r="D67" s="138" t="s">
        <v>4</v>
      </c>
      <c r="E67" s="139"/>
      <c r="F67" s="143"/>
      <c r="G67" s="91">
        <f>'March 2019'!D41</f>
        <v>0</v>
      </c>
      <c r="H67" s="13"/>
      <c r="I67" s="13"/>
      <c r="J67" s="13"/>
      <c r="K67" s="12"/>
      <c r="L67" s="13"/>
      <c r="M67" s="13"/>
      <c r="N67" s="6"/>
    </row>
    <row r="68" spans="2:14">
      <c r="D68" s="138" t="s">
        <v>60</v>
      </c>
      <c r="E68" s="144"/>
      <c r="F68" s="143"/>
      <c r="G68" s="91">
        <f>'March 2019'!F41</f>
        <v>-612779</v>
      </c>
      <c r="H68" s="13"/>
      <c r="I68" s="13"/>
      <c r="J68" s="13"/>
      <c r="K68" s="12"/>
      <c r="L68" s="13"/>
      <c r="M68" s="13"/>
      <c r="N68" s="6"/>
    </row>
    <row r="69" spans="2:14" ht="12.75" thickBot="1">
      <c r="D69" s="140" t="s">
        <v>46</v>
      </c>
      <c r="E69" s="145"/>
      <c r="F69" s="146"/>
      <c r="G69" s="158">
        <f>'March 2019'!Y41</f>
        <v>-1267226</v>
      </c>
      <c r="H69" s="13"/>
      <c r="I69" s="13"/>
      <c r="J69" s="13"/>
      <c r="K69" s="12"/>
      <c r="L69" s="13"/>
      <c r="M69" s="95"/>
      <c r="N69" s="6"/>
    </row>
    <row r="70" spans="2:14" ht="12.75" thickTop="1"/>
    <row r="65532" spans="23:23">
      <c r="W65532" s="105"/>
    </row>
    <row r="65539" spans="23:23">
      <c r="W65539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B1:IU65532"/>
  <sheetViews>
    <sheetView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G60" sqref="G60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131458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43628</v>
      </c>
      <c r="C7" s="14" t="str">
        <f t="shared" ref="C7:C40" si="0">IF(OR(WEEKDAY(B7)=1,WEEKDAY(B7)=7),"F","")</f>
        <v/>
      </c>
      <c r="D7" s="87">
        <f>-5276+5975</f>
        <v>699</v>
      </c>
      <c r="E7" s="128">
        <v>0</v>
      </c>
      <c r="F7" s="162">
        <v>-577965</v>
      </c>
      <c r="G7" s="26">
        <f>D7+E7+F7-G60-G61</f>
        <v>35191</v>
      </c>
      <c r="H7" s="132">
        <v>600</v>
      </c>
      <c r="I7" s="63">
        <v>-2000</v>
      </c>
      <c r="J7" s="63">
        <v>-100</v>
      </c>
      <c r="K7" s="170">
        <f t="shared" ref="K7:K9" si="1">+H7+I7+J7</f>
        <v>-1500</v>
      </c>
      <c r="L7" s="169">
        <v>20</v>
      </c>
      <c r="M7" s="153"/>
      <c r="N7" s="149">
        <f>L7+K7+G7+M7</f>
        <v>33711</v>
      </c>
      <c r="O7" s="67">
        <f t="shared" ref="O7:O40" si="2">P7/T7</f>
        <v>1302696.3500000001</v>
      </c>
      <c r="P7" s="163">
        <f>(+$Q7-$Q$3)</f>
        <v>1302696.3500000001</v>
      </c>
      <c r="Q7" s="164">
        <f>G59+N7+2</f>
        <v>1434154.35</v>
      </c>
      <c r="R7" s="29">
        <f t="shared" ref="R7:R55" si="3">$S7/$Q$3*100</f>
        <v>1090.9601165391227</v>
      </c>
      <c r="S7" s="165">
        <f>$Q7</f>
        <v>1434154.35</v>
      </c>
      <c r="T7" s="166">
        <v>1</v>
      </c>
      <c r="U7" s="138">
        <f>B7</f>
        <v>43628</v>
      </c>
      <c r="V7" s="131" t="s">
        <v>271</v>
      </c>
      <c r="W7" s="105">
        <v>-1287461</v>
      </c>
      <c r="X7" s="167">
        <f>AVERAGE(W7:W15)</f>
        <v>-1250616.888888889</v>
      </c>
      <c r="Y7" s="156">
        <f>-L7-K7+'May 2019'!Y62+1</f>
        <v>-1287461</v>
      </c>
      <c r="Z7" s="217">
        <f>AVERAGE(Y7:Y13)</f>
        <v>-1268365.5714285714</v>
      </c>
      <c r="AA7" s="92"/>
    </row>
    <row r="8" spans="2:255">
      <c r="B8" s="116">
        <v>43629</v>
      </c>
      <c r="C8" s="14"/>
      <c r="D8" s="128"/>
      <c r="E8" s="128">
        <v>0</v>
      </c>
      <c r="F8" s="162">
        <v>-603201</v>
      </c>
      <c r="G8" s="26">
        <f>D8+E8+F8-E7-F7</f>
        <v>-25236</v>
      </c>
      <c r="H8" s="132">
        <v>600</v>
      </c>
      <c r="I8" s="63">
        <v>3600</v>
      </c>
      <c r="J8" s="63">
        <v>-200</v>
      </c>
      <c r="K8" s="170">
        <f t="shared" si="1"/>
        <v>4000</v>
      </c>
      <c r="L8" s="171">
        <v>-25</v>
      </c>
      <c r="M8" s="153"/>
      <c r="N8" s="149">
        <f>L8+K8+G8+M8</f>
        <v>-21261</v>
      </c>
      <c r="O8" s="67">
        <f t="shared" si="2"/>
        <v>640717.67500000005</v>
      </c>
      <c r="P8" s="163">
        <f>(IF($Q8&lt;0,-$Q$3+P6,($Q8-$Q$3)+P6))</f>
        <v>1281435.3500000001</v>
      </c>
      <c r="Q8" s="164">
        <f>Q7+N8</f>
        <v>1412893.35</v>
      </c>
      <c r="R8" s="29">
        <f t="shared" si="3"/>
        <v>1082.8742640234905</v>
      </c>
      <c r="S8" s="165">
        <f>SUM($Q$7:$Q8)/T8+1</f>
        <v>1423524.85</v>
      </c>
      <c r="T8" s="166">
        <v>2</v>
      </c>
      <c r="U8" s="138">
        <f>B7+8</f>
        <v>43636</v>
      </c>
      <c r="V8" s="131">
        <v>1340.4</v>
      </c>
      <c r="W8" s="105">
        <v>-1291435</v>
      </c>
      <c r="X8" s="167"/>
      <c r="Y8" s="156">
        <f>Y7-K8-L8+1</f>
        <v>-1291435</v>
      </c>
      <c r="Z8" s="217"/>
      <c r="AA8" s="92"/>
    </row>
    <row r="9" spans="2:255">
      <c r="B9" s="116">
        <v>43630</v>
      </c>
      <c r="C9" s="14" t="str">
        <f t="shared" si="0"/>
        <v/>
      </c>
      <c r="D9" s="87"/>
      <c r="E9" s="87">
        <v>0</v>
      </c>
      <c r="F9" s="23">
        <v>-583832</v>
      </c>
      <c r="G9" s="26">
        <f>D9+E9+F9-E8-F8</f>
        <v>19369</v>
      </c>
      <c r="H9" s="132">
        <v>600</v>
      </c>
      <c r="I9" s="63">
        <v>-13400</v>
      </c>
      <c r="J9" s="63">
        <v>-200</v>
      </c>
      <c r="K9" s="170">
        <f t="shared" si="1"/>
        <v>-13000</v>
      </c>
      <c r="L9" s="171">
        <v>-47</v>
      </c>
      <c r="M9" s="153"/>
      <c r="N9" s="149">
        <f>L9+K9+G9+M9</f>
        <v>6322</v>
      </c>
      <c r="O9" s="67">
        <f t="shared" si="2"/>
        <v>863483.56666666677</v>
      </c>
      <c r="P9" s="7">
        <f>(IF($Q9&lt;0,-$Q$3+P7,($Q9-$Q$3)+P7))</f>
        <v>2590450.7000000002</v>
      </c>
      <c r="Q9" s="164">
        <f>Q8+N9-3</f>
        <v>1419212.35</v>
      </c>
      <c r="R9" s="29">
        <f t="shared" si="3"/>
        <v>1081.7810124399682</v>
      </c>
      <c r="S9" s="5">
        <f>SUM($Q$7:$Q9)/T9+1</f>
        <v>1422087.6833333336</v>
      </c>
      <c r="T9" s="17">
        <v>3</v>
      </c>
      <c r="U9" s="4"/>
      <c r="V9" s="131"/>
      <c r="W9" s="105">
        <v>-1278387</v>
      </c>
      <c r="X9" s="167"/>
      <c r="Y9" s="156">
        <f>Y8-K9-L9+1</f>
        <v>-1278387</v>
      </c>
      <c r="Z9" s="217"/>
      <c r="AA9" s="92"/>
    </row>
    <row r="10" spans="2:255">
      <c r="B10" s="116">
        <v>43631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969551.26250000007</v>
      </c>
      <c r="P10" s="7">
        <f t="shared" ref="P10:P55" si="4">(IF($Q10&lt;0,-$Q$3+P9,($Q10-$Q$3)+P9))</f>
        <v>3878205.0500000003</v>
      </c>
      <c r="Q10" s="164">
        <f t="shared" ref="Q10:Q39" si="5">Q9+N10</f>
        <v>1419212.35</v>
      </c>
      <c r="R10" s="29">
        <f t="shared" si="3"/>
        <v>1081.2328652497376</v>
      </c>
      <c r="S10" s="5">
        <f>SUM($Q$7:$Q10)/T10-1</f>
        <v>1421367.1</v>
      </c>
      <c r="T10" s="17">
        <v>4</v>
      </c>
      <c r="U10" s="27"/>
      <c r="V10" s="133"/>
      <c r="W10" s="105">
        <v>-1278387</v>
      </c>
      <c r="X10" s="167"/>
      <c r="Y10" s="156">
        <f>Y9-K10-L10</f>
        <v>-1278387</v>
      </c>
      <c r="Z10" s="217"/>
      <c r="AA10" s="92"/>
    </row>
    <row r="11" spans="2:255">
      <c r="B11" s="116">
        <v>43632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0" si="6">L11+K11+G11+M11</f>
        <v>0</v>
      </c>
      <c r="O11" s="67">
        <f t="shared" si="2"/>
        <v>1033191.8800000001</v>
      </c>
      <c r="P11" s="7">
        <f t="shared" si="4"/>
        <v>5165959.4000000004</v>
      </c>
      <c r="Q11" s="164">
        <f t="shared" si="5"/>
        <v>1419212.35</v>
      </c>
      <c r="R11" s="29">
        <f t="shared" si="3"/>
        <v>1080.9056504739156</v>
      </c>
      <c r="S11" s="5">
        <f>SUM($Q$7:$Q11)/T11</f>
        <v>1420936.95</v>
      </c>
      <c r="T11" s="17">
        <v>5</v>
      </c>
      <c r="U11" s="27"/>
      <c r="V11" s="134"/>
      <c r="W11" s="105">
        <v>-1278387</v>
      </c>
      <c r="X11" s="167"/>
      <c r="Y11" s="156">
        <f t="shared" ref="Y11:Y39" si="7">Y10-K11-L11</f>
        <v>-1278387</v>
      </c>
      <c r="Z11" s="217"/>
      <c r="AA11" s="92"/>
    </row>
    <row r="12" spans="2:255">
      <c r="B12" s="116">
        <v>43633</v>
      </c>
      <c r="C12" s="14" t="str">
        <f t="shared" si="0"/>
        <v/>
      </c>
      <c r="D12" s="87"/>
      <c r="E12" s="161">
        <v>26</v>
      </c>
      <c r="F12" s="23">
        <v>-594864</v>
      </c>
      <c r="G12" s="26">
        <f>D12+E12+F12-E9-F9</f>
        <v>-11006</v>
      </c>
      <c r="H12" s="132">
        <v>-5500</v>
      </c>
      <c r="I12" s="63">
        <v>-42200</v>
      </c>
      <c r="J12" s="63">
        <v>-100</v>
      </c>
      <c r="K12" s="170">
        <f t="shared" ref="K12:K55" si="8">+H12+I12+J12</f>
        <v>-47800</v>
      </c>
      <c r="L12" s="171">
        <v>27</v>
      </c>
      <c r="M12" s="153"/>
      <c r="N12" s="149">
        <f t="shared" si="6"/>
        <v>-58779</v>
      </c>
      <c r="O12" s="67">
        <f t="shared" si="2"/>
        <v>1065822.2916666667</v>
      </c>
      <c r="P12" s="7">
        <f t="shared" si="4"/>
        <v>6394933.75</v>
      </c>
      <c r="Q12" s="164">
        <f>Q11+N12-1</f>
        <v>1360432.35</v>
      </c>
      <c r="R12" s="29">
        <f t="shared" si="3"/>
        <v>1073.2346833209085</v>
      </c>
      <c r="S12" s="5">
        <f>SUM($Q$7:$Q12)/T12</f>
        <v>1410852.8499999999</v>
      </c>
      <c r="T12" s="17">
        <v>6</v>
      </c>
      <c r="U12" s="138">
        <f>B12</f>
        <v>43633</v>
      </c>
      <c r="V12" s="131" t="s">
        <v>272</v>
      </c>
      <c r="W12" s="105">
        <v>-1230613</v>
      </c>
      <c r="X12" s="167">
        <f>AVERAGE(W12:W20)</f>
        <v>-1195988.2222222222</v>
      </c>
      <c r="Y12" s="156">
        <f>Y11-K12-L12+1</f>
        <v>-1230613</v>
      </c>
      <c r="Z12" s="217">
        <f>AVERAGE(Y12:Y20)</f>
        <v>-1195988.2222222222</v>
      </c>
      <c r="AA12" s="92"/>
    </row>
    <row r="13" spans="2:255">
      <c r="B13" s="116">
        <v>43634</v>
      </c>
      <c r="C13" s="14"/>
      <c r="D13" s="87"/>
      <c r="E13" s="87">
        <v>0</v>
      </c>
      <c r="F13" s="23">
        <v>-586663</v>
      </c>
      <c r="G13" s="26">
        <f>D13+E13+F13-E12-F12</f>
        <v>8175</v>
      </c>
      <c r="H13" s="132">
        <v>-300</v>
      </c>
      <c r="I13" s="63">
        <v>3700</v>
      </c>
      <c r="J13" s="63">
        <v>-100</v>
      </c>
      <c r="K13" s="170">
        <f t="shared" si="8"/>
        <v>3300</v>
      </c>
      <c r="L13" s="171">
        <v>-24</v>
      </c>
      <c r="M13" s="153"/>
      <c r="N13" s="149">
        <f t="shared" si="6"/>
        <v>11451</v>
      </c>
      <c r="O13" s="67">
        <f t="shared" si="2"/>
        <v>1090765.5857142857</v>
      </c>
      <c r="P13" s="7">
        <f>(IF($Q13&lt;0,-$Q$3+P12,($Q13-$Q$3)+P12))</f>
        <v>7635359.0999999996</v>
      </c>
      <c r="Q13" s="164">
        <f>Q12+N13</f>
        <v>1371883.35</v>
      </c>
      <c r="R13" s="29">
        <f t="shared" si="3"/>
        <v>1068.9998163454704</v>
      </c>
      <c r="S13" s="5">
        <f>SUM($Q$7:$Q13)/T13</f>
        <v>1405285.7785714285</v>
      </c>
      <c r="T13" s="17">
        <v>7</v>
      </c>
      <c r="U13" s="138">
        <f>B14+6</f>
        <v>43641</v>
      </c>
      <c r="V13" s="249">
        <v>1421.2</v>
      </c>
      <c r="W13" s="105">
        <v>-1233889</v>
      </c>
      <c r="X13" s="167"/>
      <c r="Y13" s="156">
        <f>Y12-K13-L13</f>
        <v>-1233889</v>
      </c>
      <c r="Z13" s="217"/>
      <c r="AA13" s="92"/>
      <c r="AB13" s="92"/>
    </row>
    <row r="14" spans="2:255">
      <c r="B14" s="116">
        <v>43635</v>
      </c>
      <c r="C14" s="14"/>
      <c r="D14" s="87">
        <f>-5975+6213</f>
        <v>238</v>
      </c>
      <c r="E14" s="87">
        <v>1</v>
      </c>
      <c r="F14" s="23">
        <v>-568795</v>
      </c>
      <c r="G14" s="26">
        <f>D14+E14+F14-E13-F13</f>
        <v>18107</v>
      </c>
      <c r="H14" s="132">
        <v>-8500</v>
      </c>
      <c r="I14" s="63">
        <v>-26300</v>
      </c>
      <c r="J14" s="63">
        <v>-100</v>
      </c>
      <c r="K14" s="170">
        <f t="shared" si="8"/>
        <v>-34900</v>
      </c>
      <c r="L14" s="171">
        <v>-48</v>
      </c>
      <c r="M14" s="154"/>
      <c r="N14" s="149">
        <f>L14+K14+G14+M14</f>
        <v>-16841</v>
      </c>
      <c r="O14" s="67">
        <f t="shared" si="2"/>
        <v>1107367.8062499999</v>
      </c>
      <c r="P14" s="7">
        <f t="shared" si="4"/>
        <v>8858942.4499999993</v>
      </c>
      <c r="Q14" s="164">
        <f>Q13+N14-1</f>
        <v>1355041.35</v>
      </c>
      <c r="R14" s="29">
        <f t="shared" si="3"/>
        <v>1064.2229647491972</v>
      </c>
      <c r="S14" s="5">
        <f>SUM($Q$7:$Q14)/T14+1</f>
        <v>1399006.2249999999</v>
      </c>
      <c r="T14" s="17">
        <v>8</v>
      </c>
      <c r="U14" s="4"/>
      <c r="V14" s="4"/>
      <c r="W14" s="105">
        <v>-1198940</v>
      </c>
      <c r="X14" s="167"/>
      <c r="Y14" s="156">
        <f>Y13-K14-L14+1</f>
        <v>-1198940</v>
      </c>
      <c r="Z14" s="217"/>
      <c r="AA14" s="92"/>
    </row>
    <row r="15" spans="2:255">
      <c r="B15" s="116">
        <v>43636</v>
      </c>
      <c r="C15" s="14" t="str">
        <f t="shared" si="0"/>
        <v/>
      </c>
      <c r="D15" s="87"/>
      <c r="E15" s="87">
        <v>0</v>
      </c>
      <c r="F15" s="23">
        <v>-555422</v>
      </c>
      <c r="G15" s="26">
        <f>D15+E15+F15-E14-F14</f>
        <v>13372</v>
      </c>
      <c r="H15" s="132">
        <v>-16500</v>
      </c>
      <c r="I15" s="63">
        <v>-4300</v>
      </c>
      <c r="J15" s="63">
        <v>-100</v>
      </c>
      <c r="K15" s="170">
        <f t="shared" si="8"/>
        <v>-20900</v>
      </c>
      <c r="L15" s="172">
        <v>12</v>
      </c>
      <c r="M15" s="153"/>
      <c r="N15" s="149">
        <f>L15+K15+G15+M15</f>
        <v>-7516</v>
      </c>
      <c r="O15" s="67">
        <f t="shared" si="2"/>
        <v>1119445.6444444442</v>
      </c>
      <c r="P15" s="7">
        <f t="shared" si="4"/>
        <v>10075010.799999999</v>
      </c>
      <c r="Q15" s="164">
        <f>Q14+N15+1</f>
        <v>1347526.35</v>
      </c>
      <c r="R15" s="29">
        <f t="shared" si="3"/>
        <v>1059.8710995146737</v>
      </c>
      <c r="S15" s="5">
        <f>SUM($Q$7:$Q15)/T15</f>
        <v>1393285.3499999999</v>
      </c>
      <c r="T15" s="17">
        <v>9</v>
      </c>
      <c r="U15" s="4"/>
      <c r="V15" s="4"/>
      <c r="W15" s="105">
        <v>-1178053</v>
      </c>
      <c r="X15" s="167"/>
      <c r="Y15" s="156">
        <f>Y14-K15-L15-1</f>
        <v>-1178053</v>
      </c>
      <c r="Z15" s="217"/>
      <c r="AA15" s="92"/>
      <c r="AB15" s="92"/>
    </row>
    <row r="16" spans="2:255" s="69" customFormat="1">
      <c r="B16" s="116">
        <v>43637</v>
      </c>
      <c r="C16" s="14" t="str">
        <f t="shared" si="0"/>
        <v/>
      </c>
      <c r="D16" s="129"/>
      <c r="E16" s="87">
        <v>6</v>
      </c>
      <c r="F16" s="23">
        <v>-569722</v>
      </c>
      <c r="G16" s="26">
        <f>D16+E16+F16-E15-F15</f>
        <v>-14294</v>
      </c>
      <c r="H16" s="132">
        <v>-100</v>
      </c>
      <c r="I16" s="63">
        <v>8600</v>
      </c>
      <c r="J16" s="63">
        <v>-100</v>
      </c>
      <c r="K16" s="170">
        <f t="shared" si="8"/>
        <v>8400</v>
      </c>
      <c r="L16" s="172">
        <v>21</v>
      </c>
      <c r="M16" s="153"/>
      <c r="N16" s="152">
        <f>L16+K16+G16+M16</f>
        <v>-5873</v>
      </c>
      <c r="O16" s="67">
        <f t="shared" si="2"/>
        <v>1128520.7149999999</v>
      </c>
      <c r="P16" s="70">
        <f t="shared" si="4"/>
        <v>11285207.149999999</v>
      </c>
      <c r="Q16" s="164">
        <f>Q15+N16+1</f>
        <v>1341654.3500000001</v>
      </c>
      <c r="R16" s="71">
        <f t="shared" si="3"/>
        <v>1055.9435332958053</v>
      </c>
      <c r="S16" s="72">
        <f>SUM($Q$7:$Q16)/T16</f>
        <v>1388122.2499999998</v>
      </c>
      <c r="T16" s="73">
        <v>10</v>
      </c>
      <c r="U16" s="218"/>
      <c r="V16" s="133"/>
      <c r="W16" s="105">
        <v>-1186475</v>
      </c>
      <c r="X16" s="167"/>
      <c r="Y16" s="156">
        <f>Y15-K16-L16-1</f>
        <v>-1186475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43638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8"/>
        <v>0</v>
      </c>
      <c r="L17" s="171"/>
      <c r="M17" s="153"/>
      <c r="N17" s="149">
        <f t="shared" si="6"/>
        <v>0</v>
      </c>
      <c r="O17" s="67">
        <f t="shared" si="2"/>
        <v>1135945.7727272725</v>
      </c>
      <c r="P17" s="7">
        <f t="shared" si="4"/>
        <v>12495403.499999998</v>
      </c>
      <c r="Q17" s="164">
        <f t="shared" si="5"/>
        <v>1341654.3500000001</v>
      </c>
      <c r="R17" s="29">
        <f t="shared" si="3"/>
        <v>1052.7300700258222</v>
      </c>
      <c r="S17" s="5">
        <f>SUM($Q$7:$Q17)/T17</f>
        <v>1383897.8954545453</v>
      </c>
      <c r="T17" s="18">
        <v>11</v>
      </c>
      <c r="U17" s="27"/>
      <c r="V17" s="136"/>
      <c r="W17" s="105">
        <v>-1186475</v>
      </c>
      <c r="X17" s="167"/>
      <c r="Y17" s="156">
        <f t="shared" si="7"/>
        <v>-1186475</v>
      </c>
      <c r="Z17" s="217"/>
      <c r="AA17" s="92"/>
      <c r="AC17" s="92"/>
    </row>
    <row r="18" spans="2:31">
      <c r="B18" s="116">
        <v>43639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8"/>
        <v>0</v>
      </c>
      <c r="L18" s="171"/>
      <c r="M18" s="153"/>
      <c r="N18" s="149">
        <f t="shared" si="6"/>
        <v>0</v>
      </c>
      <c r="O18" s="67">
        <f t="shared" si="2"/>
        <v>1142133.3208333331</v>
      </c>
      <c r="P18" s="7">
        <f t="shared" si="4"/>
        <v>13705599.849999998</v>
      </c>
      <c r="Q18" s="164">
        <f t="shared" si="5"/>
        <v>1341654.3500000001</v>
      </c>
      <c r="R18" s="29">
        <f t="shared" si="3"/>
        <v>1050.0514232682681</v>
      </c>
      <c r="S18" s="5">
        <f>SUM($Q$7:$Q18)/T18-1</f>
        <v>1380376.5999999999</v>
      </c>
      <c r="T18" s="18">
        <v>12</v>
      </c>
      <c r="U18" s="27"/>
      <c r="V18" s="136"/>
      <c r="W18" s="105">
        <v>-1186475</v>
      </c>
      <c r="X18" s="167"/>
      <c r="Y18" s="156">
        <f t="shared" si="7"/>
        <v>-1186475</v>
      </c>
      <c r="Z18" s="217"/>
      <c r="AA18" s="92"/>
    </row>
    <row r="19" spans="2:31">
      <c r="B19" s="116">
        <v>43640</v>
      </c>
      <c r="C19" s="14" t="str">
        <f t="shared" si="0"/>
        <v/>
      </c>
      <c r="D19" s="87"/>
      <c r="E19" s="87">
        <v>4</v>
      </c>
      <c r="F19" s="23">
        <v>-559692</v>
      </c>
      <c r="G19" s="26">
        <f>D19+E19+F19-E16-F16</f>
        <v>10028</v>
      </c>
      <c r="H19" s="132">
        <v>-4300</v>
      </c>
      <c r="I19" s="25">
        <v>-200</v>
      </c>
      <c r="J19" s="63">
        <v>-800</v>
      </c>
      <c r="K19" s="170">
        <f t="shared" si="8"/>
        <v>-5300</v>
      </c>
      <c r="L19" s="171">
        <v>-27</v>
      </c>
      <c r="M19" s="153"/>
      <c r="N19" s="149">
        <f t="shared" si="6"/>
        <v>4701</v>
      </c>
      <c r="O19" s="67">
        <f t="shared" si="2"/>
        <v>1147730.5538461537</v>
      </c>
      <c r="P19" s="7">
        <f t="shared" si="4"/>
        <v>14920497.199999997</v>
      </c>
      <c r="Q19" s="164">
        <f>Q18+N19</f>
        <v>1346355.35</v>
      </c>
      <c r="R19" s="29">
        <f t="shared" si="3"/>
        <v>1048.0613609260399</v>
      </c>
      <c r="S19" s="5">
        <f>SUM($Q$7:$Q19)/T19</f>
        <v>1377760.5038461536</v>
      </c>
      <c r="T19" s="18">
        <v>13</v>
      </c>
      <c r="U19" s="138">
        <f>B19</f>
        <v>43640</v>
      </c>
      <c r="V19" s="131" t="s">
        <v>273</v>
      </c>
      <c r="W19" s="105">
        <v>-1181148</v>
      </c>
      <c r="X19" s="167">
        <f>AVERAGE(W19:W27)</f>
        <v>-1201706</v>
      </c>
      <c r="Y19" s="156">
        <f t="shared" si="7"/>
        <v>-1181148</v>
      </c>
      <c r="Z19" s="217">
        <f>AVERAGE(Y19:Y27)</f>
        <v>-1201706</v>
      </c>
      <c r="AA19" s="92"/>
    </row>
    <row r="20" spans="2:31">
      <c r="B20" s="116">
        <v>43641</v>
      </c>
      <c r="C20" s="14"/>
      <c r="D20" s="87"/>
      <c r="E20" s="87">
        <v>6</v>
      </c>
      <c r="F20" s="23">
        <v>-559037</v>
      </c>
      <c r="G20" s="26">
        <f>D20+E20+F20-E19-F19</f>
        <v>657</v>
      </c>
      <c r="H20" s="132">
        <v>500</v>
      </c>
      <c r="I20" s="25">
        <v>1100</v>
      </c>
      <c r="J20" s="63">
        <v>-900</v>
      </c>
      <c r="K20" s="170">
        <f t="shared" si="8"/>
        <v>700</v>
      </c>
      <c r="L20" s="171">
        <v>-22</v>
      </c>
      <c r="M20" s="153"/>
      <c r="N20" s="149">
        <f t="shared" si="6"/>
        <v>1335</v>
      </c>
      <c r="O20" s="67">
        <f t="shared" si="2"/>
        <v>1152623.4678571427</v>
      </c>
      <c r="P20" s="7">
        <f t="shared" si="4"/>
        <v>16136728.549999997</v>
      </c>
      <c r="Q20" s="164">
        <f>Q19+N20-1</f>
        <v>1347689.35</v>
      </c>
      <c r="R20" s="29">
        <f t="shared" si="3"/>
        <v>1046.4274249461532</v>
      </c>
      <c r="S20" s="5">
        <f>SUM($Q$7:$Q20)/T20</f>
        <v>1375612.5642857142</v>
      </c>
      <c r="T20" s="18">
        <v>14</v>
      </c>
      <c r="U20" s="138">
        <f>B19+8</f>
        <v>43648</v>
      </c>
      <c r="V20" s="131">
        <v>1436.5</v>
      </c>
      <c r="W20" s="105">
        <v>-1181826</v>
      </c>
      <c r="X20" s="167"/>
      <c r="Y20" s="156">
        <f>Y19-K20-L20</f>
        <v>-1181826</v>
      </c>
      <c r="Z20" s="217"/>
      <c r="AA20" s="92"/>
      <c r="AB20" s="92"/>
    </row>
    <row r="21" spans="2:31">
      <c r="B21" s="116">
        <v>43642</v>
      </c>
      <c r="C21" s="14" t="str">
        <f t="shared" si="0"/>
        <v/>
      </c>
      <c r="D21" s="87">
        <f>-6213-25939+6426</f>
        <v>-25726</v>
      </c>
      <c r="E21" s="87">
        <v>28</v>
      </c>
      <c r="F21" s="23">
        <v>-543919</v>
      </c>
      <c r="G21" s="26">
        <f>D21+E21+F21-E20-F20</f>
        <v>-10586</v>
      </c>
      <c r="H21" s="132">
        <v>500</v>
      </c>
      <c r="I21" s="25">
        <v>12150</v>
      </c>
      <c r="J21" s="63">
        <v>-900</v>
      </c>
      <c r="K21" s="170">
        <f t="shared" si="8"/>
        <v>11750</v>
      </c>
      <c r="L21" s="171">
        <v>17</v>
      </c>
      <c r="M21" s="153"/>
      <c r="N21" s="149">
        <f>L21+K21+G21+M21</f>
        <v>1181</v>
      </c>
      <c r="O21" s="67">
        <f t="shared" si="2"/>
        <v>1156942.7266666666</v>
      </c>
      <c r="P21" s="7">
        <f t="shared" si="4"/>
        <v>17354140.899999999</v>
      </c>
      <c r="Q21" s="164">
        <f>Q20+N21</f>
        <v>1348870.35</v>
      </c>
      <c r="R21" s="29">
        <f t="shared" si="3"/>
        <v>1045.0704787840984</v>
      </c>
      <c r="S21" s="5">
        <f>SUM($Q$7:$Q21)/T21-1</f>
        <v>1373828.75</v>
      </c>
      <c r="T21" s="18">
        <v>15</v>
      </c>
      <c r="U21" s="4"/>
      <c r="V21" s="131"/>
      <c r="W21" s="105">
        <v>-1193592</v>
      </c>
      <c r="X21" s="167"/>
      <c r="Y21" s="156">
        <f>Y20-K21-L21+1</f>
        <v>-1193592</v>
      </c>
      <c r="Z21" s="217"/>
      <c r="AA21" s="92"/>
    </row>
    <row r="22" spans="2:31">
      <c r="B22" s="116">
        <v>43643</v>
      </c>
      <c r="C22" s="14" t="str">
        <f t="shared" si="0"/>
        <v/>
      </c>
      <c r="D22" s="87">
        <f>-1072+966</f>
        <v>-106</v>
      </c>
      <c r="E22" s="87">
        <v>25</v>
      </c>
      <c r="F22" s="23">
        <v>-560053</v>
      </c>
      <c r="G22" s="26">
        <f>D22+E22+F22-E21-F21</f>
        <v>-16243</v>
      </c>
      <c r="H22" s="132">
        <v>-2800</v>
      </c>
      <c r="I22" s="25">
        <v>2700</v>
      </c>
      <c r="J22" s="63">
        <v>-900</v>
      </c>
      <c r="K22" s="170">
        <f t="shared" si="8"/>
        <v>-1000</v>
      </c>
      <c r="L22" s="171">
        <v>-49</v>
      </c>
      <c r="M22" s="153"/>
      <c r="N22" s="149">
        <f>L22+K22+G22+M22</f>
        <v>-17292</v>
      </c>
      <c r="O22" s="67">
        <f t="shared" si="2"/>
        <v>1159641.390625</v>
      </c>
      <c r="P22" s="7">
        <f t="shared" si="4"/>
        <v>18554262.25</v>
      </c>
      <c r="Q22" s="164">
        <f>Q21+N22+1</f>
        <v>1331579.3500000001</v>
      </c>
      <c r="R22" s="29">
        <f t="shared" si="3"/>
        <v>1043.0617383498911</v>
      </c>
      <c r="S22" s="5">
        <f>SUM($Q$7:$Q22)/T22-1</f>
        <v>1371188.1</v>
      </c>
      <c r="T22" s="18">
        <v>16</v>
      </c>
      <c r="U22" s="4"/>
      <c r="V22" s="131"/>
      <c r="W22" s="105">
        <v>-1192543</v>
      </c>
      <c r="X22" s="167"/>
      <c r="Y22" s="156">
        <f>Y21-K22-L22</f>
        <v>-1192543</v>
      </c>
      <c r="Z22" s="217"/>
      <c r="AA22" s="92"/>
    </row>
    <row r="23" spans="2:31">
      <c r="B23" s="116">
        <v>43644</v>
      </c>
      <c r="C23" s="14" t="str">
        <f t="shared" si="0"/>
        <v/>
      </c>
      <c r="D23" s="87"/>
      <c r="E23" s="87">
        <v>4</v>
      </c>
      <c r="F23" s="23">
        <v>-579386</v>
      </c>
      <c r="G23" s="26">
        <f t="shared" ref="G23" si="9">D23+E23+F23-E22-F22</f>
        <v>-19354</v>
      </c>
      <c r="H23" s="132">
        <v>1600</v>
      </c>
      <c r="I23" s="25">
        <v>-900</v>
      </c>
      <c r="J23" s="63">
        <v>-900</v>
      </c>
      <c r="K23" s="170">
        <f t="shared" si="8"/>
        <v>-200</v>
      </c>
      <c r="L23" s="171">
        <v>-22</v>
      </c>
      <c r="M23" s="153"/>
      <c r="N23" s="149">
        <f>L23+K23+G23+M23</f>
        <v>-19576</v>
      </c>
      <c r="O23" s="67">
        <f t="shared" si="2"/>
        <v>1160871.0352941176</v>
      </c>
      <c r="P23" s="7">
        <f t="shared" si="4"/>
        <v>19734807.600000001</v>
      </c>
      <c r="Q23" s="164">
        <f>Q22+N23</f>
        <v>1312003.3500000001</v>
      </c>
      <c r="R23" s="29">
        <f t="shared" si="3"/>
        <v>1040.4141134766373</v>
      </c>
      <c r="S23" s="5">
        <f>SUM($Q$7:$Q23)/T23</f>
        <v>1367707.5852941179</v>
      </c>
      <c r="T23" s="18">
        <v>17</v>
      </c>
      <c r="U23" s="27"/>
      <c r="V23" s="135"/>
      <c r="W23" s="105">
        <v>-1192321</v>
      </c>
      <c r="X23" s="167"/>
      <c r="Y23" s="156">
        <f t="shared" si="7"/>
        <v>-1192321</v>
      </c>
      <c r="Z23" s="217"/>
      <c r="AA23" s="92"/>
    </row>
    <row r="24" spans="2:31">
      <c r="B24" s="116">
        <v>43645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8"/>
        <v>0</v>
      </c>
      <c r="L24" s="171"/>
      <c r="M24" s="153"/>
      <c r="N24" s="149">
        <f t="shared" si="6"/>
        <v>0</v>
      </c>
      <c r="O24" s="67">
        <f t="shared" si="2"/>
        <v>1161964.0527777779</v>
      </c>
      <c r="P24" s="7">
        <f t="shared" si="4"/>
        <v>20915352.950000003</v>
      </c>
      <c r="Q24" s="164">
        <f t="shared" si="5"/>
        <v>1312003.3500000001</v>
      </c>
      <c r="R24" s="29">
        <f t="shared" si="3"/>
        <v>1038.0599929677585</v>
      </c>
      <c r="S24" s="5">
        <f>SUM($Q$7:$Q24)/T24</f>
        <v>1364612.9055555558</v>
      </c>
      <c r="T24" s="18">
        <v>18</v>
      </c>
      <c r="U24" s="4"/>
      <c r="V24" s="135"/>
      <c r="W24" s="105">
        <v>-1192321</v>
      </c>
      <c r="X24" s="167"/>
      <c r="Y24" s="156">
        <f t="shared" si="7"/>
        <v>-1192321</v>
      </c>
      <c r="Z24" s="217"/>
      <c r="AA24" s="92"/>
      <c r="AD24" s="1"/>
      <c r="AE24" s="1"/>
    </row>
    <row r="25" spans="2:31">
      <c r="B25" s="116">
        <v>43646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8"/>
        <v>0</v>
      </c>
      <c r="L25" s="171"/>
      <c r="M25" s="153"/>
      <c r="N25" s="149">
        <f t="shared" si="6"/>
        <v>0</v>
      </c>
      <c r="O25" s="67">
        <f t="shared" si="2"/>
        <v>1162942.0157894739</v>
      </c>
      <c r="P25" s="7">
        <f t="shared" si="4"/>
        <v>22095898.300000004</v>
      </c>
      <c r="Q25" s="164">
        <f t="shared" si="5"/>
        <v>1312003.3500000001</v>
      </c>
      <c r="R25" s="29">
        <f t="shared" si="3"/>
        <v>1035.9536746177089</v>
      </c>
      <c r="S25" s="5">
        <f>SUM($Q$7:$Q25)/T25</f>
        <v>1361843.9815789477</v>
      </c>
      <c r="T25" s="18">
        <v>19</v>
      </c>
      <c r="U25" s="4"/>
      <c r="V25" s="131"/>
      <c r="W25" s="105">
        <v>-1192321</v>
      </c>
      <c r="X25" s="167"/>
      <c r="Y25" s="156">
        <f t="shared" si="7"/>
        <v>-1192321</v>
      </c>
      <c r="Z25" s="217"/>
      <c r="AA25" s="92"/>
      <c r="AD25" s="1"/>
      <c r="AE25" s="1"/>
    </row>
    <row r="26" spans="2:31">
      <c r="B26" s="116">
        <v>43647</v>
      </c>
      <c r="C26" s="14" t="str">
        <f t="shared" si="0"/>
        <v/>
      </c>
      <c r="D26" s="87"/>
      <c r="E26" s="87">
        <v>10</v>
      </c>
      <c r="F26" s="23">
        <v>-592019</v>
      </c>
      <c r="G26" s="26">
        <f>D26+E26+F26-E23-F23</f>
        <v>-12627</v>
      </c>
      <c r="H26" s="132">
        <v>-7900</v>
      </c>
      <c r="I26" s="25">
        <v>60100</v>
      </c>
      <c r="J26" s="63">
        <v>-700</v>
      </c>
      <c r="K26" s="170">
        <f t="shared" si="8"/>
        <v>51500</v>
      </c>
      <c r="L26" s="171">
        <v>-38</v>
      </c>
      <c r="M26" s="153"/>
      <c r="N26" s="149">
        <f t="shared" si="6"/>
        <v>38835</v>
      </c>
      <c r="O26" s="67">
        <f t="shared" si="2"/>
        <v>1165763.9325000003</v>
      </c>
      <c r="P26" s="7">
        <f t="shared" si="4"/>
        <v>23315278.650000006</v>
      </c>
      <c r="Q26" s="164">
        <f>Q25+N26</f>
        <v>1350838.35</v>
      </c>
      <c r="R26" s="29">
        <f t="shared" si="3"/>
        <v>1035.5350758417139</v>
      </c>
      <c r="S26" s="5">
        <f>SUM($Q$7:$Q26)/T26</f>
        <v>1361293.7000000004</v>
      </c>
      <c r="T26" s="18">
        <v>20</v>
      </c>
      <c r="U26" s="138">
        <f>B26</f>
        <v>43647</v>
      </c>
      <c r="V26" s="131" t="s">
        <v>274</v>
      </c>
      <c r="W26" s="105">
        <v>-1243783</v>
      </c>
      <c r="X26" s="167">
        <f>AVERAGE(W26:W34)</f>
        <v>-1237441</v>
      </c>
      <c r="Y26" s="156">
        <f>Y25-K26-L26</f>
        <v>-1243783</v>
      </c>
      <c r="Z26" s="217">
        <f>AVERAGE(Y26:Y34)</f>
        <v>-1237440.7777777778</v>
      </c>
      <c r="AC26" s="92"/>
      <c r="AD26" s="1"/>
      <c r="AE26" s="1"/>
    </row>
    <row r="27" spans="2:31">
      <c r="B27" s="116">
        <v>43648</v>
      </c>
      <c r="C27" s="14" t="str">
        <f t="shared" si="0"/>
        <v/>
      </c>
      <c r="D27" s="87"/>
      <c r="E27" s="87">
        <v>1036</v>
      </c>
      <c r="F27" s="23">
        <v>-594057</v>
      </c>
      <c r="G27" s="26">
        <f>D27+E27+F27-E26-F26</f>
        <v>-1012</v>
      </c>
      <c r="H27" s="132">
        <v>-1500</v>
      </c>
      <c r="I27" s="25">
        <v>3900</v>
      </c>
      <c r="J27" s="63">
        <v>-700</v>
      </c>
      <c r="K27" s="170">
        <f t="shared" si="8"/>
        <v>1700</v>
      </c>
      <c r="L27" s="171">
        <v>16</v>
      </c>
      <c r="M27" s="153"/>
      <c r="N27" s="149">
        <f>L27+K27+G27+M27</f>
        <v>704</v>
      </c>
      <c r="O27" s="67">
        <f t="shared" si="2"/>
        <v>1168350.6190476194</v>
      </c>
      <c r="P27" s="7">
        <f t="shared" si="4"/>
        <v>24535363.000000007</v>
      </c>
      <c r="Q27" s="164">
        <f>Q26+N27</f>
        <v>1351542.35</v>
      </c>
      <c r="R27" s="29">
        <f t="shared" si="3"/>
        <v>1035.1826058512988</v>
      </c>
      <c r="S27" s="5">
        <f>SUM($Q$7:$Q27)/T27+1</f>
        <v>1360830.3500000003</v>
      </c>
      <c r="T27" s="18">
        <v>21</v>
      </c>
      <c r="U27" s="138">
        <f>B28+6</f>
        <v>43655</v>
      </c>
      <c r="V27" s="159">
        <v>1378.9</v>
      </c>
      <c r="W27" s="105">
        <v>-1245499</v>
      </c>
      <c r="X27" s="167"/>
      <c r="Y27" s="156">
        <f>Y26-K27-L27</f>
        <v>-1245499</v>
      </c>
      <c r="Z27" s="217"/>
      <c r="AA27" s="92"/>
      <c r="AD27" s="1"/>
      <c r="AE27" s="1"/>
    </row>
    <row r="28" spans="2:31">
      <c r="B28" s="116">
        <v>43649</v>
      </c>
      <c r="C28" s="14" t="str">
        <f t="shared" si="0"/>
        <v/>
      </c>
      <c r="D28" s="87">
        <f>-6426+5071</f>
        <v>-1355</v>
      </c>
      <c r="E28" s="87">
        <v>0</v>
      </c>
      <c r="F28" s="23">
        <v>-585205</v>
      </c>
      <c r="G28" s="26">
        <f>D28+E28+F28-E27-F27</f>
        <v>6461</v>
      </c>
      <c r="H28" s="132">
        <v>-5100</v>
      </c>
      <c r="I28" s="25">
        <v>500</v>
      </c>
      <c r="J28" s="25">
        <v>-700</v>
      </c>
      <c r="K28" s="170">
        <f t="shared" si="8"/>
        <v>-5300</v>
      </c>
      <c r="L28" s="171">
        <v>14</v>
      </c>
      <c r="M28" s="153"/>
      <c r="N28" s="149">
        <f>L28+K28+G28+M28</f>
        <v>1175</v>
      </c>
      <c r="O28" s="67">
        <f t="shared" si="2"/>
        <v>1170755.4704545459</v>
      </c>
      <c r="P28" s="7">
        <f t="shared" si="4"/>
        <v>25756620.350000009</v>
      </c>
      <c r="Q28" s="164">
        <f>Q27+N28-2</f>
        <v>1352715.35</v>
      </c>
      <c r="R28" s="29">
        <f t="shared" si="3"/>
        <v>1034.9012854433979</v>
      </c>
      <c r="S28" s="5">
        <f>SUM($Q$7:$Q28)/T28</f>
        <v>1360460.5318181822</v>
      </c>
      <c r="T28" s="18">
        <v>22</v>
      </c>
      <c r="U28" s="4"/>
      <c r="V28" s="131"/>
      <c r="W28" s="105">
        <v>-1240212</v>
      </c>
      <c r="X28" s="167"/>
      <c r="Y28" s="156">
        <f>Y27-K28-L28+1</f>
        <v>-1240212</v>
      </c>
      <c r="Z28" s="217"/>
      <c r="AA28" s="92"/>
      <c r="AD28" s="1"/>
      <c r="AE28" s="1"/>
    </row>
    <row r="29" spans="2:31">
      <c r="B29" s="116">
        <v>43650</v>
      </c>
      <c r="C29" s="14" t="str">
        <f t="shared" si="0"/>
        <v/>
      </c>
      <c r="D29" s="87"/>
      <c r="E29" s="87">
        <v>0</v>
      </c>
      <c r="F29" s="23">
        <v>-580511</v>
      </c>
      <c r="G29" s="26">
        <f>D29+E29+F29-E28-F28</f>
        <v>4694</v>
      </c>
      <c r="H29" s="132">
        <v>-7900</v>
      </c>
      <c r="I29" s="25">
        <v>9000</v>
      </c>
      <c r="J29" s="25">
        <v>-800</v>
      </c>
      <c r="K29" s="170">
        <f t="shared" si="8"/>
        <v>300</v>
      </c>
      <c r="L29" s="171">
        <v>30</v>
      </c>
      <c r="M29" s="153"/>
      <c r="N29" s="149">
        <f>L29+K29+G29+M29</f>
        <v>5024</v>
      </c>
      <c r="O29" s="67">
        <f t="shared" si="2"/>
        <v>1173169.7260869569</v>
      </c>
      <c r="P29" s="7">
        <f t="shared" si="4"/>
        <v>26982903.70000001</v>
      </c>
      <c r="Q29" s="164">
        <f>Q28+N29+2</f>
        <v>1357741.35</v>
      </c>
      <c r="R29" s="29">
        <f t="shared" si="3"/>
        <v>1034.815915746276</v>
      </c>
      <c r="S29" s="5">
        <f>SUM($Q$7:$Q29)/T29+6</f>
        <v>1360348.3065217396</v>
      </c>
      <c r="T29" s="18">
        <v>23</v>
      </c>
      <c r="U29" s="4"/>
      <c r="V29" s="131"/>
      <c r="W29" s="105">
        <v>-1240544</v>
      </c>
      <c r="X29" s="167"/>
      <c r="Y29" s="156">
        <f t="shared" si="7"/>
        <v>-1240542</v>
      </c>
      <c r="Z29" s="217"/>
      <c r="AA29" s="92"/>
      <c r="AD29" s="1"/>
      <c r="AE29" s="1"/>
    </row>
    <row r="30" spans="2:31">
      <c r="B30" s="116">
        <v>43651</v>
      </c>
      <c r="C30" s="14" t="str">
        <f t="shared" si="0"/>
        <v/>
      </c>
      <c r="D30" s="87"/>
      <c r="E30" s="87">
        <v>0</v>
      </c>
      <c r="F30" s="23">
        <v>-584984</v>
      </c>
      <c r="G30" s="26">
        <f>D30+E30+F30-E29-F29</f>
        <v>-4473</v>
      </c>
      <c r="H30" s="132">
        <v>-300</v>
      </c>
      <c r="I30" s="25">
        <v>-1800</v>
      </c>
      <c r="J30" s="25">
        <v>-800</v>
      </c>
      <c r="K30" s="170">
        <f t="shared" si="8"/>
        <v>-2900</v>
      </c>
      <c r="L30" s="171">
        <v>41</v>
      </c>
      <c r="M30" s="153"/>
      <c r="N30" s="149">
        <f t="shared" si="6"/>
        <v>-7332</v>
      </c>
      <c r="O30" s="67">
        <f t="shared" si="2"/>
        <v>1175077.3354166672</v>
      </c>
      <c r="P30" s="7">
        <f t="shared" si="4"/>
        <v>28201856.050000012</v>
      </c>
      <c r="Q30" s="164">
        <f>Q29+N30+1</f>
        <v>1350410.35</v>
      </c>
      <c r="R30" s="29">
        <f t="shared" si="3"/>
        <v>1034.5011144243792</v>
      </c>
      <c r="S30" s="5">
        <f>SUM($Q$7:$Q30)/T30+6</f>
        <v>1359934.4750000006</v>
      </c>
      <c r="T30" s="18">
        <v>24</v>
      </c>
      <c r="U30" s="4"/>
      <c r="V30" s="131"/>
      <c r="W30" s="105">
        <v>-1237686</v>
      </c>
      <c r="X30" s="167"/>
      <c r="Y30" s="156">
        <f>Y29-K30-L30-3</f>
        <v>-1237686</v>
      </c>
      <c r="Z30" s="217"/>
      <c r="AA30" s="92"/>
      <c r="AD30" s="1"/>
      <c r="AE30" s="1"/>
    </row>
    <row r="31" spans="2:31">
      <c r="B31" s="116">
        <v>43652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1176832.3360000006</v>
      </c>
      <c r="P31" s="7">
        <f t="shared" si="4"/>
        <v>29420808.400000013</v>
      </c>
      <c r="Q31" s="164">
        <f t="shared" si="5"/>
        <v>1350410.35</v>
      </c>
      <c r="R31" s="29">
        <f t="shared" si="3"/>
        <v>1034.2084544112954</v>
      </c>
      <c r="S31" s="5">
        <f>SUM($Q$7:$Q31)/T31+2</f>
        <v>1359549.7500000007</v>
      </c>
      <c r="T31" s="18">
        <v>25</v>
      </c>
      <c r="U31" s="4"/>
      <c r="V31" s="137"/>
      <c r="W31" s="105">
        <v>-1237686</v>
      </c>
      <c r="X31" s="167"/>
      <c r="Y31" s="156">
        <f t="shared" si="7"/>
        <v>-1237686</v>
      </c>
      <c r="Z31" s="217"/>
      <c r="AA31" s="92"/>
      <c r="AB31" s="92"/>
      <c r="AD31" s="1"/>
      <c r="AE31" s="1"/>
    </row>
    <row r="32" spans="2:31">
      <c r="B32" s="116">
        <v>43653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8"/>
        <v>0</v>
      </c>
      <c r="L32" s="171"/>
      <c r="M32" s="153"/>
      <c r="N32" s="149">
        <f t="shared" si="6"/>
        <v>0</v>
      </c>
      <c r="O32" s="67">
        <f t="shared" si="2"/>
        <v>1178452.3365384622</v>
      </c>
      <c r="P32" s="7">
        <f t="shared" si="4"/>
        <v>30639760.750000015</v>
      </c>
      <c r="Q32" s="164">
        <f t="shared" si="5"/>
        <v>1350410.35</v>
      </c>
      <c r="R32" s="29">
        <f t="shared" si="3"/>
        <v>1033.9395940440766</v>
      </c>
      <c r="S32" s="5">
        <f>SUM($Q$7:$Q32)/T32</f>
        <v>1359196.3115384621</v>
      </c>
      <c r="T32" s="18">
        <v>26</v>
      </c>
      <c r="U32" s="27"/>
      <c r="V32" s="137"/>
      <c r="W32" s="105">
        <v>-1237686</v>
      </c>
      <c r="X32" s="167"/>
      <c r="Y32" s="156">
        <f t="shared" si="7"/>
        <v>-1237686</v>
      </c>
      <c r="Z32" s="217"/>
      <c r="AD32" s="1"/>
      <c r="AE32" s="1"/>
    </row>
    <row r="33" spans="2:31">
      <c r="B33" s="116">
        <v>43654</v>
      </c>
      <c r="C33" s="14" t="str">
        <f t="shared" si="0"/>
        <v/>
      </c>
      <c r="D33" s="87"/>
      <c r="E33" s="87">
        <v>0</v>
      </c>
      <c r="F33" s="23">
        <v>-590487</v>
      </c>
      <c r="G33" s="26">
        <f>D33+E33+F33-E30-F30</f>
        <v>-5503</v>
      </c>
      <c r="H33" s="132">
        <v>-1800</v>
      </c>
      <c r="I33" s="25">
        <v>-9900</v>
      </c>
      <c r="J33" s="25">
        <v>-400</v>
      </c>
      <c r="K33" s="170">
        <f t="shared" si="8"/>
        <v>-12100</v>
      </c>
      <c r="L33" s="171">
        <v>14</v>
      </c>
      <c r="M33" s="153"/>
      <c r="N33" s="149">
        <f t="shared" si="6"/>
        <v>-17589</v>
      </c>
      <c r="O33" s="67">
        <f t="shared" si="2"/>
        <v>1179300.8925925931</v>
      </c>
      <c r="P33" s="7">
        <f t="shared" si="4"/>
        <v>31841124.100000016</v>
      </c>
      <c r="Q33" s="164">
        <f>Q32+N33</f>
        <v>1332821.3500000001</v>
      </c>
      <c r="R33" s="29">
        <f t="shared" si="3"/>
        <v>1033.1965046715391</v>
      </c>
      <c r="S33" s="5">
        <f>SUM($Q$7:$Q33)/T33</f>
        <v>1358219.4611111118</v>
      </c>
      <c r="T33" s="18">
        <v>27</v>
      </c>
      <c r="U33" s="138">
        <f>B33</f>
        <v>43654</v>
      </c>
      <c r="V33" s="131" t="s">
        <v>275</v>
      </c>
      <c r="W33" s="105">
        <v>-1225600</v>
      </c>
      <c r="X33" s="167">
        <f>AVERAGE(W33:W55)</f>
        <v>-1176716.6521739131</v>
      </c>
      <c r="Y33" s="156">
        <f t="shared" si="7"/>
        <v>-1225600</v>
      </c>
      <c r="Z33" s="217">
        <f>AVERAGE(Y33:Y55)</f>
        <v>-1176716.5217391304</v>
      </c>
      <c r="AD33" s="1"/>
      <c r="AE33" s="1"/>
    </row>
    <row r="34" spans="2:31">
      <c r="B34" s="116">
        <v>43655</v>
      </c>
      <c r="C34" s="14" t="str">
        <f t="shared" si="0"/>
        <v/>
      </c>
      <c r="D34" s="87"/>
      <c r="E34" s="87">
        <v>0</v>
      </c>
      <c r="F34" s="23">
        <v>-593587</v>
      </c>
      <c r="G34" s="26">
        <f>D34+E34+F34-E33-F33</f>
        <v>-3100</v>
      </c>
      <c r="H34" s="132">
        <v>600</v>
      </c>
      <c r="I34" s="25">
        <v>2500</v>
      </c>
      <c r="J34" s="25">
        <v>-400</v>
      </c>
      <c r="K34" s="170">
        <f t="shared" si="8"/>
        <v>2700</v>
      </c>
      <c r="L34" s="171">
        <v>-26</v>
      </c>
      <c r="M34" s="153"/>
      <c r="N34" s="149">
        <f>L34+K34+G34+M34</f>
        <v>-426</v>
      </c>
      <c r="O34" s="67">
        <f t="shared" si="2"/>
        <v>1180073.5517857149</v>
      </c>
      <c r="P34" s="7">
        <f t="shared" si="4"/>
        <v>33042059.450000018</v>
      </c>
      <c r="Q34" s="164">
        <f>Q33+N34-2</f>
        <v>1332393.3500000001</v>
      </c>
      <c r="R34" s="29">
        <f t="shared" si="3"/>
        <v>1032.4948652801661</v>
      </c>
      <c r="S34" s="5">
        <f>SUM($Q$7:$Q34)/T34</f>
        <v>1357297.1000000008</v>
      </c>
      <c r="T34" s="18">
        <v>28</v>
      </c>
      <c r="U34" s="138">
        <f>B33+8</f>
        <v>43662</v>
      </c>
      <c r="V34" s="131">
        <v>1397.9</v>
      </c>
      <c r="W34" s="105">
        <v>-1228273</v>
      </c>
      <c r="X34" s="167"/>
      <c r="Y34" s="156">
        <f>Y33-K34-L34+1</f>
        <v>-1228273</v>
      </c>
      <c r="Z34" s="217"/>
      <c r="AA34" s="92"/>
      <c r="AD34" s="1"/>
      <c r="AE34" s="1"/>
    </row>
    <row r="35" spans="2:31">
      <c r="B35" s="116">
        <v>43656</v>
      </c>
      <c r="C35" s="14" t="str">
        <f t="shared" si="0"/>
        <v/>
      </c>
      <c r="D35" s="87">
        <f>-5071+2927</f>
        <v>-2144</v>
      </c>
      <c r="E35" s="87">
        <v>0</v>
      </c>
      <c r="F35" s="23">
        <v>-584906</v>
      </c>
      <c r="G35" s="26">
        <f>D35+E35+F35-E34-F34</f>
        <v>6537</v>
      </c>
      <c r="H35" s="132">
        <v>600</v>
      </c>
      <c r="I35" s="25">
        <v>-2400</v>
      </c>
      <c r="J35" s="25">
        <v>-400</v>
      </c>
      <c r="K35" s="170">
        <f t="shared" si="8"/>
        <v>-2200</v>
      </c>
      <c r="L35" s="171">
        <v>10</v>
      </c>
      <c r="M35" s="153"/>
      <c r="N35" s="149">
        <f t="shared" si="6"/>
        <v>4347</v>
      </c>
      <c r="O35" s="67">
        <f t="shared" si="2"/>
        <v>1180942.8896551731</v>
      </c>
      <c r="P35" s="7">
        <f t="shared" si="4"/>
        <v>34247343.800000019</v>
      </c>
      <c r="Q35" s="164">
        <f>Q34+N35+1+1</f>
        <v>1336742.3500000001</v>
      </c>
      <c r="R35" s="29">
        <f t="shared" si="3"/>
        <v>1031.9556934665384</v>
      </c>
      <c r="S35" s="5">
        <f>SUM($Q$7:$Q35)/T35</f>
        <v>1356588.3155172421</v>
      </c>
      <c r="T35" s="18">
        <v>29</v>
      </c>
      <c r="U35" s="4"/>
      <c r="V35" s="131"/>
      <c r="W35" s="105">
        <v>-1226084</v>
      </c>
      <c r="X35" s="167"/>
      <c r="Y35" s="156">
        <f>Y34-K35-L35-1</f>
        <v>-1226084</v>
      </c>
      <c r="Z35" s="217"/>
      <c r="AA35" s="92"/>
      <c r="AD35" s="1"/>
      <c r="AE35" s="1"/>
    </row>
    <row r="36" spans="2:31">
      <c r="B36" s="116">
        <v>43657</v>
      </c>
      <c r="C36" s="14" t="str">
        <f t="shared" si="0"/>
        <v/>
      </c>
      <c r="D36" s="87"/>
      <c r="E36" s="87">
        <v>2</v>
      </c>
      <c r="F36" s="23">
        <v>-588029</v>
      </c>
      <c r="G36" s="26">
        <f>D36+E36+F36-E35-F35</f>
        <v>-3121</v>
      </c>
      <c r="H36" s="132">
        <v>600</v>
      </c>
      <c r="I36" s="25">
        <v>-2200</v>
      </c>
      <c r="J36" s="25">
        <v>-400</v>
      </c>
      <c r="K36" s="170">
        <f t="shared" si="8"/>
        <v>-2000</v>
      </c>
      <c r="L36" s="171">
        <v>-22</v>
      </c>
      <c r="M36" s="153"/>
      <c r="N36" s="149">
        <f>L36+K36+G36+M36</f>
        <v>-5143</v>
      </c>
      <c r="O36" s="67">
        <f t="shared" si="2"/>
        <v>1181582.7716666674</v>
      </c>
      <c r="P36" s="7">
        <f t="shared" si="4"/>
        <v>35447483.150000021</v>
      </c>
      <c r="Q36" s="164">
        <f>Q35+N36-2</f>
        <v>1331597.3500000001</v>
      </c>
      <c r="R36" s="29">
        <f t="shared" si="3"/>
        <v>1031.3220065217288</v>
      </c>
      <c r="S36" s="5">
        <f>SUM($Q$7:$Q36)/T36</f>
        <v>1355755.2833333341</v>
      </c>
      <c r="T36" s="18">
        <v>30</v>
      </c>
      <c r="U36" s="4"/>
      <c r="V36" s="136"/>
      <c r="W36" s="105">
        <v>-1224059</v>
      </c>
      <c r="X36" s="167"/>
      <c r="Y36" s="156">
        <f>Y35-K36-L36+3</f>
        <v>-1224059</v>
      </c>
      <c r="Z36" s="217"/>
      <c r="AD36" s="1"/>
      <c r="AE36" s="1"/>
    </row>
    <row r="37" spans="2:31">
      <c r="B37" s="116">
        <v>43658</v>
      </c>
      <c r="C37" s="14" t="str">
        <f t="shared" si="0"/>
        <v/>
      </c>
      <c r="D37" s="87"/>
      <c r="E37" s="87">
        <v>0</v>
      </c>
      <c r="F37" s="23">
        <v>-582036</v>
      </c>
      <c r="G37" s="26">
        <f>D37+E37+F37-E36-F36</f>
        <v>5991</v>
      </c>
      <c r="H37" s="132">
        <v>700</v>
      </c>
      <c r="I37" s="25">
        <v>-10700</v>
      </c>
      <c r="J37" s="25">
        <v>-400</v>
      </c>
      <c r="K37" s="170">
        <f t="shared" si="8"/>
        <v>-10400</v>
      </c>
      <c r="L37" s="171">
        <v>-11</v>
      </c>
      <c r="M37" s="153"/>
      <c r="N37" s="149">
        <f>L37+K37+G37+M37</f>
        <v>-4420</v>
      </c>
      <c r="O37" s="67">
        <f t="shared" si="2"/>
        <v>1182038.7258064523</v>
      </c>
      <c r="P37" s="7">
        <f t="shared" si="4"/>
        <v>36643200.500000022</v>
      </c>
      <c r="Q37" s="164">
        <f>Q36+N37-2</f>
        <v>1327175.3500000001</v>
      </c>
      <c r="R37" s="29">
        <f t="shared" si="3"/>
        <v>1030.6214532398187</v>
      </c>
      <c r="S37" s="5">
        <f>SUM($Q$7:$Q37)/T37+1</f>
        <v>1354834.3500000008</v>
      </c>
      <c r="T37" s="18">
        <v>31</v>
      </c>
      <c r="U37" s="27"/>
      <c r="V37" s="137"/>
      <c r="W37" s="105">
        <v>-1213647</v>
      </c>
      <c r="X37" s="167"/>
      <c r="Y37" s="156">
        <f>Y36-K37-L37+1</f>
        <v>-1213647</v>
      </c>
      <c r="Z37" s="217"/>
      <c r="AA37" s="92"/>
      <c r="AD37" s="1"/>
      <c r="AE37" s="1"/>
    </row>
    <row r="38" spans="2:31">
      <c r="B38" s="116">
        <v>43659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8"/>
        <v>0</v>
      </c>
      <c r="L38" s="171"/>
      <c r="M38" s="153"/>
      <c r="N38" s="149">
        <f t="shared" si="6"/>
        <v>0</v>
      </c>
      <c r="O38" s="67">
        <f t="shared" si="2"/>
        <v>1182466.1828125007</v>
      </c>
      <c r="P38" s="7">
        <f t="shared" si="4"/>
        <v>37838917.850000024</v>
      </c>
      <c r="Q38" s="164">
        <f t="shared" si="5"/>
        <v>1327175.3500000001</v>
      </c>
      <c r="R38" s="29">
        <f t="shared" si="3"/>
        <v>1029.9632106832605</v>
      </c>
      <c r="S38" s="5">
        <f>SUM($Q$7:$Q38)/T38</f>
        <v>1353969.0375000008</v>
      </c>
      <c r="T38" s="18">
        <v>32</v>
      </c>
      <c r="U38" s="27"/>
      <c r="V38" s="137"/>
      <c r="W38" s="105">
        <v>-1213647</v>
      </c>
      <c r="X38" s="167"/>
      <c r="Y38" s="156">
        <f t="shared" si="7"/>
        <v>-1213647</v>
      </c>
      <c r="Z38" s="217"/>
      <c r="AD38" s="1"/>
      <c r="AE38" s="1"/>
    </row>
    <row r="39" spans="2:31">
      <c r="B39" s="116">
        <v>43660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8"/>
        <v>0</v>
      </c>
      <c r="L39" s="171"/>
      <c r="M39" s="153"/>
      <c r="N39" s="149">
        <f t="shared" si="6"/>
        <v>0</v>
      </c>
      <c r="O39" s="67">
        <f t="shared" si="2"/>
        <v>1182867.7333333341</v>
      </c>
      <c r="P39" s="7">
        <f t="shared" si="4"/>
        <v>39034635.200000025</v>
      </c>
      <c r="Q39" s="164">
        <f t="shared" si="5"/>
        <v>1327175.3500000001</v>
      </c>
      <c r="R39" s="29">
        <f t="shared" si="3"/>
        <v>1029.3455762112296</v>
      </c>
      <c r="S39" s="5">
        <f>SUM($Q$7:$Q39)/T39</f>
        <v>1353157.1075757584</v>
      </c>
      <c r="T39" s="18">
        <v>33</v>
      </c>
      <c r="U39" s="27"/>
      <c r="V39" s="137">
        <v>1451.8</v>
      </c>
      <c r="W39" s="105">
        <v>-1213647</v>
      </c>
      <c r="X39" s="167"/>
      <c r="Y39" s="156">
        <f t="shared" si="7"/>
        <v>-1213647</v>
      </c>
      <c r="Z39" s="217"/>
      <c r="AD39" s="1"/>
      <c r="AE39" s="1"/>
    </row>
    <row r="40" spans="2:31">
      <c r="B40" s="116">
        <v>43661</v>
      </c>
      <c r="C40" s="14" t="str">
        <f t="shared" si="0"/>
        <v/>
      </c>
      <c r="D40" s="87"/>
      <c r="E40" s="87">
        <v>13</v>
      </c>
      <c r="F40" s="23">
        <v>-577173</v>
      </c>
      <c r="G40" s="26">
        <f>D40+E40+F40-E37-F37</f>
        <v>4876</v>
      </c>
      <c r="H40" s="132">
        <v>-4900</v>
      </c>
      <c r="I40" s="25">
        <v>-2000</v>
      </c>
      <c r="J40" s="25">
        <v>100</v>
      </c>
      <c r="K40" s="170">
        <f t="shared" si="8"/>
        <v>-6800</v>
      </c>
      <c r="L40" s="171">
        <v>-34</v>
      </c>
      <c r="M40" s="153"/>
      <c r="N40" s="149">
        <f t="shared" si="6"/>
        <v>-1958</v>
      </c>
      <c r="O40" s="67">
        <f t="shared" si="2"/>
        <v>1183188.0455882361</v>
      </c>
      <c r="P40" s="7">
        <f t="shared" si="4"/>
        <v>40228393.550000027</v>
      </c>
      <c r="Q40" s="164">
        <f>Q39+N40-1</f>
        <v>1325216.3500000001</v>
      </c>
      <c r="R40" s="29">
        <f t="shared" si="3"/>
        <v>1028.7204434787052</v>
      </c>
      <c r="S40" s="5">
        <f>SUM($Q$7:$Q40)/T40</f>
        <v>1352335.3205882362</v>
      </c>
      <c r="T40" s="18">
        <v>34</v>
      </c>
      <c r="U40" s="138">
        <f>B40</f>
        <v>43661</v>
      </c>
      <c r="V40" s="131" t="s">
        <v>276</v>
      </c>
      <c r="W40" s="105">
        <v>-1206812</v>
      </c>
      <c r="X40" s="167">
        <f>AVERAGE(W40:W62)</f>
        <v>-1157470.375</v>
      </c>
      <c r="Y40" s="156">
        <f>Y39-K40-L40+1</f>
        <v>-1206812</v>
      </c>
      <c r="Z40" s="217">
        <f>AVERAGE(Y40:Y48)</f>
        <v>-1159911</v>
      </c>
      <c r="AD40" s="1"/>
      <c r="AE40" s="1"/>
    </row>
    <row r="41" spans="2:31">
      <c r="B41" s="116">
        <v>43662</v>
      </c>
      <c r="C41" s="14" t="str">
        <f t="shared" ref="C41:C55" si="10">IF(OR(WEEKDAY(B41)=1,WEEKDAY(B41)=7),"F","")</f>
        <v/>
      </c>
      <c r="D41" s="250"/>
      <c r="E41" s="250">
        <v>3</v>
      </c>
      <c r="F41" s="251">
        <v>-572692</v>
      </c>
      <c r="G41" s="252">
        <f>D41+E41+F41-E40-F40</f>
        <v>4471</v>
      </c>
      <c r="H41" s="253">
        <v>700</v>
      </c>
      <c r="I41" s="254">
        <v>-28800</v>
      </c>
      <c r="J41" s="254">
        <v>100</v>
      </c>
      <c r="K41" s="255">
        <f t="shared" si="8"/>
        <v>-28000</v>
      </c>
      <c r="L41" s="171">
        <v>41</v>
      </c>
      <c r="M41" s="153"/>
      <c r="N41" s="149">
        <f t="shared" ref="N41:N55" si="11">L41+K41+G41+M41</f>
        <v>-23488</v>
      </c>
      <c r="O41" s="67">
        <f t="shared" ref="O41:O55" si="12">P41/T41</f>
        <v>1182818.9400000009</v>
      </c>
      <c r="P41" s="7">
        <f t="shared" si="4"/>
        <v>41398662.900000028</v>
      </c>
      <c r="Q41" s="164">
        <f t="shared" ref="Q41:Q54" si="13">Q40+N41-1</f>
        <v>1301727.3500000001</v>
      </c>
      <c r="R41" s="29">
        <f t="shared" si="3"/>
        <v>1027.6205164930468</v>
      </c>
      <c r="S41" s="5">
        <f>SUM($Q$7:$Q41)/T41</f>
        <v>1350889.3785714295</v>
      </c>
      <c r="T41" s="18">
        <v>35</v>
      </c>
      <c r="U41" s="138">
        <f>B40+8</f>
        <v>43669</v>
      </c>
      <c r="V41" s="131"/>
      <c r="W41" s="105">
        <v>-1178852</v>
      </c>
      <c r="X41" s="167"/>
      <c r="Y41" s="156">
        <f t="shared" ref="Y41:Y42" si="14">Y40-K41-L41+1</f>
        <v>-1178852</v>
      </c>
      <c r="Z41" s="217"/>
      <c r="AD41" s="1"/>
      <c r="AE41" s="1"/>
    </row>
    <row r="42" spans="2:31">
      <c r="B42" s="116">
        <v>43663</v>
      </c>
      <c r="C42" s="14" t="str">
        <f t="shared" si="10"/>
        <v/>
      </c>
      <c r="D42" s="250">
        <f>-2927+2892</f>
        <v>-35</v>
      </c>
      <c r="E42" s="250">
        <v>0</v>
      </c>
      <c r="F42" s="251">
        <v>-572838</v>
      </c>
      <c r="G42" s="252">
        <f>D42+E42+F42-E41-F41</f>
        <v>-184</v>
      </c>
      <c r="H42" s="253">
        <v>200</v>
      </c>
      <c r="I42" s="254">
        <v>-3600</v>
      </c>
      <c r="J42" s="254">
        <v>-100</v>
      </c>
      <c r="K42" s="255">
        <f t="shared" si="8"/>
        <v>-3500</v>
      </c>
      <c r="L42" s="171">
        <v>28</v>
      </c>
      <c r="M42" s="153"/>
      <c r="N42" s="149">
        <f t="shared" si="11"/>
        <v>-3656</v>
      </c>
      <c r="O42" s="67">
        <f t="shared" si="12"/>
        <v>1182368.8402777787</v>
      </c>
      <c r="P42" s="7">
        <f t="shared" si="4"/>
        <v>42565278.25000003</v>
      </c>
      <c r="Q42" s="164">
        <f>Q41+N42+2</f>
        <v>1298073.3500000001</v>
      </c>
      <c r="R42" s="29">
        <f t="shared" si="3"/>
        <v>1026.5044855898213</v>
      </c>
      <c r="S42" s="5">
        <f>SUM($Q$7:$Q42)/T42</f>
        <v>1349422.2666666675</v>
      </c>
      <c r="T42" s="18">
        <v>36</v>
      </c>
      <c r="U42" s="138"/>
      <c r="V42" s="131"/>
      <c r="W42" s="105">
        <v>-1175382</v>
      </c>
      <c r="X42" s="167"/>
      <c r="Y42" s="156">
        <f t="shared" si="14"/>
        <v>-1175379</v>
      </c>
      <c r="Z42" s="217"/>
      <c r="AD42" s="1"/>
      <c r="AE42" s="1"/>
    </row>
    <row r="43" spans="2:31">
      <c r="B43" s="116">
        <v>43664</v>
      </c>
      <c r="C43" s="14" t="str">
        <f t="shared" si="10"/>
        <v/>
      </c>
      <c r="D43" s="250"/>
      <c r="E43" s="250">
        <v>0</v>
      </c>
      <c r="F43" s="251">
        <v>-566299</v>
      </c>
      <c r="G43" s="252">
        <f>D43+E43+F43-E42-F42</f>
        <v>6539</v>
      </c>
      <c r="H43" s="253">
        <v>-5300</v>
      </c>
      <c r="I43" s="254">
        <v>-12500</v>
      </c>
      <c r="J43" s="254">
        <v>-100</v>
      </c>
      <c r="K43" s="255">
        <f t="shared" si="8"/>
        <v>-17900</v>
      </c>
      <c r="L43" s="171">
        <v>-18</v>
      </c>
      <c r="M43" s="153"/>
      <c r="N43" s="149">
        <f t="shared" si="11"/>
        <v>-11379</v>
      </c>
      <c r="O43" s="67">
        <f t="shared" si="12"/>
        <v>1181635.5027027035</v>
      </c>
      <c r="P43" s="7">
        <f t="shared" si="4"/>
        <v>43720513.600000031</v>
      </c>
      <c r="Q43" s="164">
        <f t="shared" si="13"/>
        <v>1286693.3500000001</v>
      </c>
      <c r="R43" s="29">
        <f t="shared" si="3"/>
        <v>1025.2148142680867</v>
      </c>
      <c r="S43" s="5">
        <f>SUM($Q$7:$Q43)/T43</f>
        <v>1347726.8905405414</v>
      </c>
      <c r="T43" s="18">
        <v>37</v>
      </c>
      <c r="U43" s="138"/>
      <c r="V43" s="131"/>
      <c r="W43" s="105">
        <v>-1157463</v>
      </c>
      <c r="X43" s="167"/>
      <c r="Y43" s="156">
        <f>Y42-K43-L43-2</f>
        <v>-1157463</v>
      </c>
      <c r="Z43" s="217"/>
      <c r="AD43" s="1"/>
      <c r="AE43" s="1"/>
    </row>
    <row r="44" spans="2:31">
      <c r="B44" s="116">
        <v>43665</v>
      </c>
      <c r="C44" s="14" t="str">
        <f t="shared" si="10"/>
        <v/>
      </c>
      <c r="D44" s="250"/>
      <c r="E44" s="250">
        <v>0</v>
      </c>
      <c r="F44" s="251">
        <v>-551674</v>
      </c>
      <c r="G44" s="252">
        <f>D44+E44+F44-E43-F43</f>
        <v>14625</v>
      </c>
      <c r="H44" s="253">
        <v>-16900</v>
      </c>
      <c r="I44" s="254">
        <v>9200</v>
      </c>
      <c r="J44" s="254">
        <v>-100</v>
      </c>
      <c r="K44" s="255">
        <f t="shared" si="8"/>
        <v>-7800</v>
      </c>
      <c r="L44" s="171">
        <v>31</v>
      </c>
      <c r="M44" s="153"/>
      <c r="N44" s="149">
        <f t="shared" si="11"/>
        <v>6856</v>
      </c>
      <c r="O44" s="67">
        <f t="shared" si="12"/>
        <v>1181121.1302631588</v>
      </c>
      <c r="P44" s="7">
        <f t="shared" si="4"/>
        <v>44882602.950000033</v>
      </c>
      <c r="Q44" s="164">
        <f>Q43+N44-2</f>
        <v>1293547.3500000001</v>
      </c>
      <c r="R44" s="29">
        <f t="shared" si="3"/>
        <v>1024.1302265042034</v>
      </c>
      <c r="S44" s="5">
        <f>SUM($Q$7:$Q44)/T44</f>
        <v>1346301.1131578956</v>
      </c>
      <c r="T44" s="18">
        <v>38</v>
      </c>
      <c r="U44" s="138"/>
      <c r="V44" s="131"/>
      <c r="W44" s="105">
        <v>-1149692</v>
      </c>
      <c r="X44" s="167"/>
      <c r="Y44" s="156">
        <f>Y43-K44-L44+2</f>
        <v>-1149692</v>
      </c>
      <c r="Z44" s="217"/>
      <c r="AD44" s="1"/>
      <c r="AE44" s="1"/>
    </row>
    <row r="45" spans="2:31">
      <c r="B45" s="116">
        <v>43666</v>
      </c>
      <c r="C45" s="14" t="str">
        <f t="shared" si="10"/>
        <v>F</v>
      </c>
      <c r="D45" s="250"/>
      <c r="E45" s="250"/>
      <c r="F45" s="251"/>
      <c r="G45" s="252"/>
      <c r="H45" s="253"/>
      <c r="I45" s="254"/>
      <c r="J45" s="254"/>
      <c r="K45" s="255">
        <f t="shared" si="8"/>
        <v>0</v>
      </c>
      <c r="L45" s="171"/>
      <c r="M45" s="153"/>
      <c r="N45" s="149">
        <f t="shared" si="11"/>
        <v>0</v>
      </c>
      <c r="O45" s="67">
        <f t="shared" si="12"/>
        <v>1180633.1102564111</v>
      </c>
      <c r="P45" s="7">
        <f t="shared" si="4"/>
        <v>46044691.300000034</v>
      </c>
      <c r="Q45" s="164">
        <f t="shared" si="13"/>
        <v>1293546.3500000001</v>
      </c>
      <c r="R45" s="29">
        <f t="shared" si="3"/>
        <v>1023.1012391205388</v>
      </c>
      <c r="S45" s="5">
        <f>SUM($Q$7:$Q45)/T45</f>
        <v>1344948.4269230778</v>
      </c>
      <c r="T45" s="18">
        <v>39</v>
      </c>
      <c r="U45" s="138"/>
      <c r="V45" s="131"/>
      <c r="W45" s="105">
        <v>-1149692</v>
      </c>
      <c r="X45" s="167"/>
      <c r="Y45" s="156">
        <f>Y44-K45-L45</f>
        <v>-1149692</v>
      </c>
      <c r="Z45" s="217"/>
      <c r="AD45" s="1"/>
      <c r="AE45" s="1"/>
    </row>
    <row r="46" spans="2:31">
      <c r="B46" s="116">
        <v>43667</v>
      </c>
      <c r="C46" s="14" t="str">
        <f t="shared" si="10"/>
        <v>F</v>
      </c>
      <c r="D46" s="250"/>
      <c r="E46" s="250"/>
      <c r="F46" s="251"/>
      <c r="G46" s="252"/>
      <c r="H46" s="253"/>
      <c r="I46" s="254"/>
      <c r="J46" s="254"/>
      <c r="K46" s="255">
        <f t="shared" si="8"/>
        <v>0</v>
      </c>
      <c r="L46" s="171"/>
      <c r="M46" s="153"/>
      <c r="N46" s="149">
        <f t="shared" si="11"/>
        <v>0</v>
      </c>
      <c r="O46" s="67">
        <f t="shared" si="12"/>
        <v>1180169.466250001</v>
      </c>
      <c r="P46" s="7">
        <f t="shared" si="4"/>
        <v>47206778.650000036</v>
      </c>
      <c r="Q46" s="164">
        <f t="shared" si="13"/>
        <v>1293545.3500000001</v>
      </c>
      <c r="R46" s="29">
        <f t="shared" si="3"/>
        <v>1022.1236820885766</v>
      </c>
      <c r="S46" s="5">
        <f>SUM($Q$7:$Q46)/T46</f>
        <v>1343663.350000001</v>
      </c>
      <c r="T46" s="18">
        <v>40</v>
      </c>
      <c r="U46" s="138"/>
      <c r="V46" s="131"/>
      <c r="W46" s="105">
        <v>-1149692</v>
      </c>
      <c r="X46" s="167"/>
      <c r="Y46" s="156">
        <f>Y45-K46-L46</f>
        <v>-1149692</v>
      </c>
      <c r="Z46" s="217"/>
      <c r="AD46" s="1"/>
      <c r="AE46" s="1"/>
    </row>
    <row r="47" spans="2:31">
      <c r="B47" s="116">
        <v>43668</v>
      </c>
      <c r="C47" s="14" t="str">
        <f t="shared" si="10"/>
        <v/>
      </c>
      <c r="D47" s="250"/>
      <c r="E47" s="250">
        <v>0</v>
      </c>
      <c r="F47" s="251">
        <v>-546275</v>
      </c>
      <c r="G47" s="252">
        <f>D47+E47+F47-E44-F44</f>
        <v>5399</v>
      </c>
      <c r="H47" s="253">
        <v>-300</v>
      </c>
      <c r="I47" s="254">
        <v>-13500</v>
      </c>
      <c r="J47" s="254">
        <v>-400</v>
      </c>
      <c r="K47" s="255">
        <f t="shared" si="8"/>
        <v>-14200</v>
      </c>
      <c r="L47" s="171">
        <v>13</v>
      </c>
      <c r="M47" s="153"/>
      <c r="N47" s="149">
        <f t="shared" si="11"/>
        <v>-8788</v>
      </c>
      <c r="O47" s="67">
        <f t="shared" si="12"/>
        <v>1179514.1463414642</v>
      </c>
      <c r="P47" s="7">
        <f t="shared" si="4"/>
        <v>48360080.000000037</v>
      </c>
      <c r="Q47" s="164">
        <f>Q46+N47+2</f>
        <v>1284759.3500000001</v>
      </c>
      <c r="R47" s="29">
        <f t="shared" si="3"/>
        <v>1021.0307984855783</v>
      </c>
      <c r="S47" s="5">
        <f>SUM($Q$7:$Q47)/T47</f>
        <v>1342226.6670731716</v>
      </c>
      <c r="T47" s="18">
        <v>41</v>
      </c>
      <c r="U47" s="138">
        <f>B47</f>
        <v>43668</v>
      </c>
      <c r="V47" s="131" t="s">
        <v>277</v>
      </c>
      <c r="W47" s="105">
        <v>-1135505</v>
      </c>
      <c r="X47" s="167">
        <f>AVERAGE(W47:W69)</f>
        <v>-1150215.6666666667</v>
      </c>
      <c r="Y47" s="156">
        <f>Y46-K47-L47</f>
        <v>-1135505</v>
      </c>
      <c r="Z47" s="217">
        <f>AVERAGE(Y47:Y69)</f>
        <v>-1150215.6666666667</v>
      </c>
      <c r="AD47" s="1"/>
      <c r="AE47" s="1"/>
    </row>
    <row r="48" spans="2:31">
      <c r="B48" s="116">
        <v>43669</v>
      </c>
      <c r="C48" s="14" t="str">
        <f t="shared" si="10"/>
        <v/>
      </c>
      <c r="D48" s="250"/>
      <c r="E48" s="250">
        <v>4</v>
      </c>
      <c r="F48" s="251">
        <v>-541042</v>
      </c>
      <c r="G48" s="252">
        <f>D48+E48+F48-E47-F47</f>
        <v>5237</v>
      </c>
      <c r="H48" s="253">
        <v>-3500</v>
      </c>
      <c r="I48" s="254">
        <v>4500</v>
      </c>
      <c r="J48" s="254">
        <v>-400</v>
      </c>
      <c r="K48" s="255">
        <f t="shared" si="8"/>
        <v>600</v>
      </c>
      <c r="L48" s="171">
        <v>6</v>
      </c>
      <c r="M48" s="153"/>
      <c r="N48" s="149">
        <f t="shared" si="11"/>
        <v>5843</v>
      </c>
      <c r="O48" s="67">
        <f t="shared" si="12"/>
        <v>1179029.175000001</v>
      </c>
      <c r="P48" s="7">
        <f t="shared" si="4"/>
        <v>49519225.350000039</v>
      </c>
      <c r="Q48" s="164">
        <f>Q47+N48+1</f>
        <v>1290603.3500000001</v>
      </c>
      <c r="R48" s="29">
        <f t="shared" si="3"/>
        <v>1020.0958028238612</v>
      </c>
      <c r="S48" s="5">
        <f>SUM($Q$7:$Q48)/T48</f>
        <v>1340997.5404761913</v>
      </c>
      <c r="T48" s="18">
        <v>42</v>
      </c>
      <c r="U48" s="138">
        <f>B47+8</f>
        <v>43676</v>
      </c>
      <c r="V48" s="131">
        <v>1461.5</v>
      </c>
      <c r="W48" s="105">
        <v>-1136112</v>
      </c>
      <c r="X48" s="167"/>
      <c r="Y48" s="156">
        <f>Y47-K48-L48-1</f>
        <v>-1136112</v>
      </c>
      <c r="Z48" s="217"/>
      <c r="AD48" s="1"/>
      <c r="AE48" s="1"/>
    </row>
    <row r="49" spans="2:31">
      <c r="B49" s="116">
        <v>43670</v>
      </c>
      <c r="C49" s="14" t="str">
        <f t="shared" si="10"/>
        <v/>
      </c>
      <c r="D49" s="250">
        <f>-2892+2913</f>
        <v>21</v>
      </c>
      <c r="E49" s="250">
        <v>8</v>
      </c>
      <c r="F49" s="251">
        <v>-536374</v>
      </c>
      <c r="G49" s="252">
        <f>D49+E49+F49-E48-F48</f>
        <v>4693</v>
      </c>
      <c r="H49" s="253">
        <v>-100</v>
      </c>
      <c r="I49" s="254">
        <v>4900</v>
      </c>
      <c r="J49" s="254">
        <v>-300</v>
      </c>
      <c r="K49" s="255">
        <f t="shared" si="8"/>
        <v>4500</v>
      </c>
      <c r="L49" s="171">
        <v>-20</v>
      </c>
      <c r="M49" s="153"/>
      <c r="N49" s="149">
        <f t="shared" si="11"/>
        <v>9173</v>
      </c>
      <c r="O49" s="67">
        <f t="shared" si="12"/>
        <v>1178780.0860465125</v>
      </c>
      <c r="P49" s="7">
        <f t="shared" si="4"/>
        <v>50687543.70000004</v>
      </c>
      <c r="Q49" s="164">
        <f>Q48+N49</f>
        <v>1299776.3500000001</v>
      </c>
      <c r="R49" s="29">
        <f t="shared" si="3"/>
        <v>1019.3665719389736</v>
      </c>
      <c r="S49" s="5">
        <f>SUM($Q$7:$Q49)/T49</f>
        <v>1340038.9081395359</v>
      </c>
      <c r="T49" s="18">
        <v>43</v>
      </c>
      <c r="U49" s="138"/>
      <c r="V49" s="131"/>
      <c r="W49" s="105">
        <v>-1140592</v>
      </c>
      <c r="X49" s="167"/>
      <c r="Y49" s="156">
        <f t="shared" ref="Y49:Y55" si="15">Y48-K49-L49</f>
        <v>-1140592</v>
      </c>
      <c r="Z49" s="217"/>
      <c r="AD49" s="1"/>
      <c r="AE49" s="1"/>
    </row>
    <row r="50" spans="2:31">
      <c r="B50" s="116">
        <v>43671</v>
      </c>
      <c r="C50" s="14" t="str">
        <f t="shared" si="10"/>
        <v/>
      </c>
      <c r="D50" s="250"/>
      <c r="E50" s="250">
        <v>10</v>
      </c>
      <c r="F50" s="251">
        <v>-543365</v>
      </c>
      <c r="G50" s="252">
        <f>D50+E50+F50-E49-F49</f>
        <v>-6989</v>
      </c>
      <c r="H50" s="253">
        <v>500</v>
      </c>
      <c r="I50" s="254">
        <v>12500</v>
      </c>
      <c r="J50" s="254">
        <v>-400</v>
      </c>
      <c r="K50" s="255">
        <f t="shared" si="8"/>
        <v>12600</v>
      </c>
      <c r="L50" s="171">
        <v>-7</v>
      </c>
      <c r="M50" s="153"/>
      <c r="N50" s="149">
        <f t="shared" si="11"/>
        <v>5604</v>
      </c>
      <c r="O50" s="67">
        <f t="shared" si="12"/>
        <v>1178669.7056818192</v>
      </c>
      <c r="P50" s="7">
        <f t="shared" si="4"/>
        <v>51861467.050000042</v>
      </c>
      <c r="Q50" s="164">
        <f>Q49+N50+1</f>
        <v>1305381.3500000001</v>
      </c>
      <c r="R50" s="29">
        <f t="shared" si="3"/>
        <v>1018.7689120202934</v>
      </c>
      <c r="S50" s="5">
        <f>SUM($Q$7:$Q50)/T50+2</f>
        <v>1339253.2363636373</v>
      </c>
      <c r="T50" s="18">
        <v>44</v>
      </c>
      <c r="U50" s="138"/>
      <c r="V50" s="131"/>
      <c r="W50" s="105">
        <v>-1153187</v>
      </c>
      <c r="X50" s="167"/>
      <c r="Y50" s="156">
        <f>Y49-K50-L50-2</f>
        <v>-1153187</v>
      </c>
      <c r="Z50" s="217"/>
      <c r="AD50" s="1"/>
      <c r="AE50" s="1"/>
    </row>
    <row r="51" spans="2:31">
      <c r="B51" s="116">
        <v>43672</v>
      </c>
      <c r="C51" s="14" t="str">
        <f t="shared" si="10"/>
        <v/>
      </c>
      <c r="D51" s="250"/>
      <c r="E51" s="250">
        <v>9</v>
      </c>
      <c r="F51" s="251">
        <v>-541325</v>
      </c>
      <c r="G51" s="252">
        <f>D51+E51+F51-E50-F50</f>
        <v>2039</v>
      </c>
      <c r="H51" s="253">
        <v>500</v>
      </c>
      <c r="I51" s="254">
        <v>-200</v>
      </c>
      <c r="J51" s="254">
        <v>-400</v>
      </c>
      <c r="K51" s="255">
        <f t="shared" si="8"/>
        <v>-100</v>
      </c>
      <c r="L51" s="171">
        <v>29</v>
      </c>
      <c r="M51" s="153"/>
      <c r="N51" s="149">
        <f t="shared" si="11"/>
        <v>1968</v>
      </c>
      <c r="O51" s="67">
        <f t="shared" si="12"/>
        <v>1178607.9422222232</v>
      </c>
      <c r="P51" s="7">
        <f t="shared" si="4"/>
        <v>53037357.400000043</v>
      </c>
      <c r="Q51" s="164">
        <f t="shared" si="13"/>
        <v>1307348.3500000001</v>
      </c>
      <c r="R51" s="29">
        <f t="shared" si="3"/>
        <v>1018.2280905942083</v>
      </c>
      <c r="S51" s="5">
        <f>SUM($Q$7:$Q51)/T51</f>
        <v>1338542.2833333344</v>
      </c>
      <c r="T51" s="18">
        <v>45</v>
      </c>
      <c r="U51" s="138"/>
      <c r="V51" s="131"/>
      <c r="W51" s="105">
        <v>-1153115</v>
      </c>
      <c r="X51" s="167"/>
      <c r="Y51" s="156">
        <f>Y50-K51-L51+1</f>
        <v>-1153115</v>
      </c>
      <c r="Z51" s="217"/>
      <c r="AD51" s="1"/>
      <c r="AE51" s="1"/>
    </row>
    <row r="52" spans="2:31">
      <c r="B52" s="116">
        <v>43673</v>
      </c>
      <c r="C52" s="14" t="str">
        <f t="shared" si="10"/>
        <v>F</v>
      </c>
      <c r="D52" s="250"/>
      <c r="E52" s="250"/>
      <c r="F52" s="251"/>
      <c r="G52" s="252"/>
      <c r="H52" s="253"/>
      <c r="I52" s="254"/>
      <c r="J52" s="254"/>
      <c r="K52" s="255">
        <f t="shared" si="8"/>
        <v>0</v>
      </c>
      <c r="L52" s="171"/>
      <c r="M52" s="153"/>
      <c r="N52" s="149">
        <f t="shared" si="11"/>
        <v>0</v>
      </c>
      <c r="O52" s="67">
        <f t="shared" si="12"/>
        <v>1178548.8641304357</v>
      </c>
      <c r="P52" s="7">
        <f t="shared" si="4"/>
        <v>54213247.750000045</v>
      </c>
      <c r="Q52" s="164">
        <f>Q51+N52</f>
        <v>1307348.3500000001</v>
      </c>
      <c r="R52" s="29">
        <f t="shared" si="3"/>
        <v>1017.7122383938803</v>
      </c>
      <c r="S52" s="5">
        <f>SUM($Q$7:$Q52)/T52</f>
        <v>1337864.1543478272</v>
      </c>
      <c r="T52" s="18">
        <v>46</v>
      </c>
      <c r="U52" s="138"/>
      <c r="V52" s="131"/>
      <c r="W52" s="105">
        <v>-1153115</v>
      </c>
      <c r="X52" s="167"/>
      <c r="Y52" s="156">
        <f t="shared" si="15"/>
        <v>-1153115</v>
      </c>
      <c r="Z52" s="217"/>
      <c r="AD52" s="1"/>
      <c r="AE52" s="1"/>
    </row>
    <row r="53" spans="2:31">
      <c r="B53" s="116">
        <v>43674</v>
      </c>
      <c r="C53" s="14" t="str">
        <f t="shared" si="10"/>
        <v>F</v>
      </c>
      <c r="D53" s="250"/>
      <c r="E53" s="250"/>
      <c r="F53" s="251"/>
      <c r="G53" s="252"/>
      <c r="H53" s="253"/>
      <c r="I53" s="254"/>
      <c r="J53" s="254"/>
      <c r="K53" s="255">
        <f t="shared" si="8"/>
        <v>0</v>
      </c>
      <c r="L53" s="171"/>
      <c r="M53" s="153"/>
      <c r="N53" s="149">
        <f t="shared" si="11"/>
        <v>0</v>
      </c>
      <c r="O53" s="67">
        <f t="shared" si="12"/>
        <v>1178492.300000001</v>
      </c>
      <c r="P53" s="7">
        <f t="shared" si="4"/>
        <v>55389138.100000046</v>
      </c>
      <c r="Q53" s="164">
        <f>Q52+N53</f>
        <v>1307348.3500000001</v>
      </c>
      <c r="R53" s="29">
        <f t="shared" si="3"/>
        <v>1017.2175766517782</v>
      </c>
      <c r="S53" s="5">
        <f>SUM($Q$7:$Q53)/T53-1</f>
        <v>1337213.8819148946</v>
      </c>
      <c r="T53" s="18">
        <v>47</v>
      </c>
      <c r="U53" s="138"/>
      <c r="V53" s="131"/>
      <c r="W53" s="105">
        <v>-1153115</v>
      </c>
      <c r="X53" s="167"/>
      <c r="Y53" s="156">
        <f t="shared" si="15"/>
        <v>-1153115</v>
      </c>
      <c r="Z53" s="217"/>
      <c r="AD53" s="1"/>
      <c r="AE53" s="1"/>
    </row>
    <row r="54" spans="2:31">
      <c r="B54" s="116">
        <v>43675</v>
      </c>
      <c r="C54" s="14" t="str">
        <f t="shared" si="10"/>
        <v/>
      </c>
      <c r="D54" s="250"/>
      <c r="E54" s="250">
        <v>35</v>
      </c>
      <c r="F54" s="251">
        <v>-564549</v>
      </c>
      <c r="G54" s="252">
        <f>D54+E54+F54-E51-F51</f>
        <v>-23198</v>
      </c>
      <c r="H54" s="253">
        <v>700</v>
      </c>
      <c r="I54" s="254">
        <v>5700</v>
      </c>
      <c r="J54" s="254">
        <v>-1000</v>
      </c>
      <c r="K54" s="255">
        <f t="shared" si="8"/>
        <v>5400</v>
      </c>
      <c r="L54" s="171">
        <v>-17</v>
      </c>
      <c r="M54" s="153"/>
      <c r="N54" s="149">
        <f t="shared" si="11"/>
        <v>-17815</v>
      </c>
      <c r="O54" s="67">
        <f t="shared" si="12"/>
        <v>1178066.9260416676</v>
      </c>
      <c r="P54" s="7">
        <f t="shared" si="4"/>
        <v>56547212.450000048</v>
      </c>
      <c r="Q54" s="164">
        <f t="shared" si="13"/>
        <v>1289532.3500000001</v>
      </c>
      <c r="R54" s="29">
        <f t="shared" si="3"/>
        <v>1016.4626693189721</v>
      </c>
      <c r="S54" s="5">
        <f>SUM($Q$7:$Q54)/T54</f>
        <v>1336221.4958333343</v>
      </c>
      <c r="T54" s="18">
        <v>48</v>
      </c>
      <c r="U54" s="138"/>
      <c r="V54" s="131"/>
      <c r="W54" s="105">
        <v>-1158496</v>
      </c>
      <c r="X54" s="167"/>
      <c r="Y54" s="156">
        <f>Y53-K54-L54+2</f>
        <v>-1158496</v>
      </c>
      <c r="Z54" s="217"/>
      <c r="AD54" s="1"/>
      <c r="AE54" s="1"/>
    </row>
    <row r="55" spans="2:31">
      <c r="B55" s="256">
        <v>43676</v>
      </c>
      <c r="C55" s="257" t="str">
        <f t="shared" si="10"/>
        <v/>
      </c>
      <c r="D55" s="258"/>
      <c r="E55" s="258">
        <v>43</v>
      </c>
      <c r="F55" s="259">
        <v>-553143</v>
      </c>
      <c r="G55" s="260">
        <f>D55+E55+F55-E54-F54</f>
        <v>11414</v>
      </c>
      <c r="H55" s="261">
        <v>-2550</v>
      </c>
      <c r="I55" s="262">
        <v>13750</v>
      </c>
      <c r="J55" s="262">
        <v>-1000</v>
      </c>
      <c r="K55" s="263">
        <f t="shared" si="8"/>
        <v>10200</v>
      </c>
      <c r="L55" s="171">
        <v>8</v>
      </c>
      <c r="M55" s="153"/>
      <c r="N55" s="149">
        <f t="shared" si="11"/>
        <v>21622</v>
      </c>
      <c r="O55" s="67">
        <f t="shared" si="12"/>
        <v>1178100.1795918378</v>
      </c>
      <c r="P55" s="7">
        <f t="shared" si="4"/>
        <v>57726908.800000049</v>
      </c>
      <c r="Q55" s="164">
        <f>Q54+N55</f>
        <v>1311154.3500000001</v>
      </c>
      <c r="R55" s="29">
        <f t="shared" si="3"/>
        <v>1016.073515060759</v>
      </c>
      <c r="S55" s="5">
        <f>SUM($Q$7:$Q55)/T55</f>
        <v>1335709.9214285724</v>
      </c>
      <c r="T55" s="18">
        <v>49</v>
      </c>
      <c r="U55" s="264"/>
      <c r="V55" s="265"/>
      <c r="W55" s="266">
        <v>-1168704</v>
      </c>
      <c r="X55" s="267"/>
      <c r="Y55" s="269">
        <f t="shared" si="15"/>
        <v>-1168704</v>
      </c>
      <c r="Z55" s="268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1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1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1"/>
      <c r="N58" s="4"/>
    </row>
    <row r="59" spans="2:31" ht="12.75" thickTop="1">
      <c r="D59" s="27" t="s">
        <v>59</v>
      </c>
      <c r="E59" s="139"/>
      <c r="F59" s="142"/>
      <c r="G59" s="90">
        <f>'May 2019'!Q62</f>
        <v>1400441.35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'May 2019'!E62</f>
        <v>205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'May 2019'!F62</f>
        <v>-612662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'May 2019'!Y62</f>
        <v>-1288942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J5:J6"/>
    <mergeCell ref="I5:I6"/>
    <mergeCell ref="H5:H6"/>
    <mergeCell ref="K5:K6"/>
    <mergeCell ref="G5:G6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B1:IU65532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9" sqref="H19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132047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43677</v>
      </c>
      <c r="C7" s="14" t="str">
        <f t="shared" ref="C7:C55" si="0">IF(OR(WEEKDAY(B7)=1,WEEKDAY(B7)=7),"F","")</f>
        <v/>
      </c>
      <c r="D7" s="87">
        <f>-2913+3601</f>
        <v>688</v>
      </c>
      <c r="E7" s="128">
        <v>8</v>
      </c>
      <c r="F7" s="162">
        <v>-573685</v>
      </c>
      <c r="G7" s="26">
        <f>D7+E7+F7-G60-G61</f>
        <v>-19889</v>
      </c>
      <c r="H7" s="132">
        <v>1200</v>
      </c>
      <c r="I7" s="63">
        <v>32350</v>
      </c>
      <c r="J7" s="63">
        <v>-1100</v>
      </c>
      <c r="K7" s="170">
        <f t="shared" ref="K7:K9" si="1">+H7+I7+J7</f>
        <v>32450</v>
      </c>
      <c r="L7" s="169">
        <v>19</v>
      </c>
      <c r="M7" s="153"/>
      <c r="N7" s="149">
        <f>L7+K7+G7+M7</f>
        <v>12580</v>
      </c>
      <c r="O7" s="67">
        <f t="shared" ref="O7:O55" si="2">P7/T7</f>
        <v>1191689.3500000001</v>
      </c>
      <c r="P7" s="163">
        <f>(+$Q7-$Q$3)</f>
        <v>1191689.3500000001</v>
      </c>
      <c r="Q7" s="164">
        <f>G59+N7+2</f>
        <v>1323736.3500000001</v>
      </c>
      <c r="R7" s="29">
        <f t="shared" ref="R7:R55" si="3">$S7/$Q$3*100</f>
        <v>1002.4736268146949</v>
      </c>
      <c r="S7" s="165">
        <f>$Q7</f>
        <v>1323736.3500000001</v>
      </c>
      <c r="T7" s="166">
        <v>1</v>
      </c>
      <c r="U7" s="138">
        <f>B7</f>
        <v>43677</v>
      </c>
      <c r="V7" s="131" t="s">
        <v>279</v>
      </c>
      <c r="W7" s="105">
        <v>-1201174</v>
      </c>
      <c r="X7" s="167">
        <f>AVERAGE(W7:W15)</f>
        <v>-1213968</v>
      </c>
      <c r="Y7" s="156">
        <f>-L7-K7+'July 2019'!Y55-1</f>
        <v>-1201174</v>
      </c>
      <c r="Z7" s="217">
        <f>AVERAGE(Y7:Y13)</f>
        <v>-1216523.2857142857</v>
      </c>
      <c r="AA7" s="92"/>
    </row>
    <row r="8" spans="2:255">
      <c r="B8" s="116">
        <v>43678</v>
      </c>
      <c r="C8" s="14"/>
      <c r="D8" s="128">
        <f>-860+790</f>
        <v>-70</v>
      </c>
      <c r="E8" s="128">
        <v>34</v>
      </c>
      <c r="F8" s="162">
        <v>-554813</v>
      </c>
      <c r="G8" s="26">
        <f>D8+E8+F8-E7-F7</f>
        <v>18828</v>
      </c>
      <c r="H8" s="132">
        <v>29800</v>
      </c>
      <c r="I8" s="63">
        <v>-3200</v>
      </c>
      <c r="J8" s="63">
        <v>-1100</v>
      </c>
      <c r="K8" s="170">
        <f t="shared" si="1"/>
        <v>25500</v>
      </c>
      <c r="L8" s="171">
        <v>-8</v>
      </c>
      <c r="M8" s="153"/>
      <c r="N8" s="149">
        <f>L8+K8+G8+M8</f>
        <v>44320</v>
      </c>
      <c r="O8" s="67">
        <f t="shared" si="2"/>
        <v>618004.67500000005</v>
      </c>
      <c r="P8" s="163">
        <f>(IF($Q8&lt;0,-$Q$3+P6,($Q8-$Q$3)+P6))</f>
        <v>1236009.3500000001</v>
      </c>
      <c r="Q8" s="164">
        <f>Q7+N8</f>
        <v>1368056.35</v>
      </c>
      <c r="R8" s="29">
        <f t="shared" si="3"/>
        <v>1019.2555302278734</v>
      </c>
      <c r="S8" s="165">
        <f>SUM($Q$7:$Q8)/T8</f>
        <v>1345896.35</v>
      </c>
      <c r="T8" s="166">
        <v>2</v>
      </c>
      <c r="U8" s="138">
        <f>B7+6</f>
        <v>43683</v>
      </c>
      <c r="V8" s="131">
        <v>1396.1</v>
      </c>
      <c r="W8" s="105">
        <v>-1226666</v>
      </c>
      <c r="X8" s="167"/>
      <c r="Y8" s="156">
        <f>Y7-K8-L8</f>
        <v>-1226666</v>
      </c>
      <c r="Z8" s="217"/>
      <c r="AA8" s="92"/>
    </row>
    <row r="9" spans="2:255">
      <c r="B9" s="116">
        <v>43679</v>
      </c>
      <c r="C9" s="14" t="str">
        <f t="shared" si="0"/>
        <v/>
      </c>
      <c r="D9" s="87"/>
      <c r="E9" s="87">
        <v>28</v>
      </c>
      <c r="F9" s="23">
        <v>-566804</v>
      </c>
      <c r="G9" s="26">
        <f>D9+E9+F9-E8-F8</f>
        <v>-11997</v>
      </c>
      <c r="H9" s="132">
        <v>600</v>
      </c>
      <c r="I9" s="63">
        <v>-6000</v>
      </c>
      <c r="J9" s="63">
        <v>-1100</v>
      </c>
      <c r="K9" s="170">
        <f t="shared" si="1"/>
        <v>-6500</v>
      </c>
      <c r="L9" s="171">
        <v>-41</v>
      </c>
      <c r="M9" s="153"/>
      <c r="N9" s="149">
        <f>L9+K9+G9+M9</f>
        <v>-18538</v>
      </c>
      <c r="O9" s="67">
        <f t="shared" si="2"/>
        <v>803052.9</v>
      </c>
      <c r="P9" s="7">
        <f>(IF($Q9&lt;0,-$Q$3+P7,($Q9-$Q$3)+P7))</f>
        <v>2409158.7000000002</v>
      </c>
      <c r="Q9" s="164">
        <f>Q8+N9-2</f>
        <v>1349516.35</v>
      </c>
      <c r="R9" s="29">
        <f t="shared" si="3"/>
        <v>1020.1701035742325</v>
      </c>
      <c r="S9" s="5">
        <f>SUM($Q$7:$Q9)/T9+1</f>
        <v>1347104.0166666668</v>
      </c>
      <c r="T9" s="17">
        <v>3</v>
      </c>
      <c r="U9" s="4"/>
      <c r="V9" s="131"/>
      <c r="W9" s="105">
        <v>-1220124</v>
      </c>
      <c r="X9" s="167"/>
      <c r="Y9" s="156">
        <f>Y8-K9-L9+1</f>
        <v>-1220124</v>
      </c>
      <c r="Z9" s="217"/>
      <c r="AA9" s="92"/>
    </row>
    <row r="10" spans="2:255">
      <c r="B10" s="116">
        <v>43680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906657.01250000007</v>
      </c>
      <c r="P10" s="7">
        <f t="shared" ref="P10:P55" si="4">(IF($Q10&lt;0,-$Q$3+P9,($Q10-$Q$3)+P9))</f>
        <v>3626628.0500000003</v>
      </c>
      <c r="Q10" s="164">
        <f t="shared" ref="Q10:Q39" si="5">Q9+N10</f>
        <v>1349516.35</v>
      </c>
      <c r="R10" s="29">
        <f t="shared" si="3"/>
        <v>1020.6254969821351</v>
      </c>
      <c r="S10" s="5">
        <f>SUM($Q$7:$Q10)/T10-1</f>
        <v>1347705.35</v>
      </c>
      <c r="T10" s="17">
        <v>4</v>
      </c>
      <c r="U10" s="27"/>
      <c r="V10" s="133"/>
      <c r="W10" s="105">
        <v>-1220124</v>
      </c>
      <c r="X10" s="167"/>
      <c r="Y10" s="156">
        <f>Y9-K10-L10</f>
        <v>-1220124</v>
      </c>
      <c r="Z10" s="217"/>
      <c r="AA10" s="92"/>
    </row>
    <row r="11" spans="2:255">
      <c r="B11" s="116">
        <v>43681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968819.4800000001</v>
      </c>
      <c r="P11" s="7">
        <f t="shared" si="4"/>
        <v>4844097.4000000004</v>
      </c>
      <c r="Q11" s="164">
        <f t="shared" si="5"/>
        <v>1349516.35</v>
      </c>
      <c r="R11" s="29">
        <f t="shared" si="3"/>
        <v>1020.9003991003204</v>
      </c>
      <c r="S11" s="5">
        <f>SUM($Q$7:$Q11)/T11</f>
        <v>1348068.35</v>
      </c>
      <c r="T11" s="17">
        <v>5</v>
      </c>
      <c r="U11" s="27"/>
      <c r="V11" s="134"/>
      <c r="W11" s="105">
        <v>-1220124</v>
      </c>
      <c r="X11" s="167"/>
      <c r="Y11" s="156">
        <f t="shared" ref="Y11:Y39" si="7">Y10-K11-L11</f>
        <v>-1220124</v>
      </c>
      <c r="Z11" s="217"/>
      <c r="AA11" s="92"/>
    </row>
    <row r="12" spans="2:255">
      <c r="B12" s="116">
        <v>43682</v>
      </c>
      <c r="C12" s="14" t="str">
        <f t="shared" si="0"/>
        <v/>
      </c>
      <c r="D12" s="87"/>
      <c r="E12" s="161">
        <v>27</v>
      </c>
      <c r="F12" s="23">
        <v>-557701</v>
      </c>
      <c r="G12" s="26">
        <f>D12+E12+F12-E9-F9</f>
        <v>9102</v>
      </c>
      <c r="H12" s="132">
        <v>700</v>
      </c>
      <c r="I12" s="63">
        <v>-4900</v>
      </c>
      <c r="J12" s="63">
        <v>100</v>
      </c>
      <c r="K12" s="170">
        <f t="shared" ref="K12:K55" si="8">+H12+I12+J12</f>
        <v>-4100</v>
      </c>
      <c r="L12" s="171">
        <v>39</v>
      </c>
      <c r="M12" s="153"/>
      <c r="N12" s="149">
        <f t="shared" si="6"/>
        <v>5041</v>
      </c>
      <c r="O12" s="67">
        <f t="shared" si="2"/>
        <v>1011101.125</v>
      </c>
      <c r="P12" s="7">
        <f t="shared" si="4"/>
        <v>6066606.75</v>
      </c>
      <c r="Q12" s="164">
        <f>Q11+N12-1</f>
        <v>1354556.35</v>
      </c>
      <c r="R12" s="29">
        <f t="shared" si="3"/>
        <v>1021.7192994413605</v>
      </c>
      <c r="S12" s="5">
        <f>SUM($Q$7:$Q12)/T12</f>
        <v>1349149.6833333333</v>
      </c>
      <c r="T12" s="17">
        <v>6</v>
      </c>
      <c r="U12" s="138">
        <f>B12</f>
        <v>43682</v>
      </c>
      <c r="V12" s="131" t="s">
        <v>280</v>
      </c>
      <c r="W12" s="105">
        <v>-1216062</v>
      </c>
      <c r="X12" s="167">
        <f>AVERAGE(W12:W20)</f>
        <v>-1206606.4444444445</v>
      </c>
      <c r="Y12" s="156">
        <f>Y11-K12-L12+1</f>
        <v>-1216062</v>
      </c>
      <c r="Z12" s="217">
        <f>AVERAGE(Y12:Y20)</f>
        <v>-1206606.4444444445</v>
      </c>
      <c r="AA12" s="92"/>
    </row>
    <row r="13" spans="2:255">
      <c r="B13" s="116">
        <v>43683</v>
      </c>
      <c r="C13" s="14"/>
      <c r="D13" s="87"/>
      <c r="E13" s="87">
        <v>23</v>
      </c>
      <c r="F13" s="23">
        <v>-551551</v>
      </c>
      <c r="G13" s="26">
        <f>D13+E13+F13-E12-F12</f>
        <v>6146</v>
      </c>
      <c r="H13" s="132">
        <v>700</v>
      </c>
      <c r="I13" s="63">
        <v>-5500</v>
      </c>
      <c r="J13" s="63">
        <v>100</v>
      </c>
      <c r="K13" s="170">
        <f t="shared" si="8"/>
        <v>-4700</v>
      </c>
      <c r="L13" s="171">
        <v>27</v>
      </c>
      <c r="M13" s="153"/>
      <c r="N13" s="149">
        <f t="shared" si="6"/>
        <v>1473</v>
      </c>
      <c r="O13" s="67">
        <f t="shared" si="2"/>
        <v>1041512.7285714286</v>
      </c>
      <c r="P13" s="7">
        <f>(IF($Q13&lt;0,-$Q$3+P12,($Q13-$Q$3)+P12))</f>
        <v>7290589.0999999996</v>
      </c>
      <c r="Q13" s="164">
        <f>Q12+N13</f>
        <v>1356029.35</v>
      </c>
      <c r="R13" s="29">
        <f t="shared" si="3"/>
        <v>1022.4635870993985</v>
      </c>
      <c r="S13" s="5">
        <f>SUM($Q$7:$Q13)/T13</f>
        <v>1350132.4928571428</v>
      </c>
      <c r="T13" s="17">
        <v>7</v>
      </c>
      <c r="U13" s="138">
        <f>B14+6</f>
        <v>43690</v>
      </c>
      <c r="V13" s="249">
        <v>1399.4</v>
      </c>
      <c r="W13" s="105">
        <v>-1211389</v>
      </c>
      <c r="X13" s="167"/>
      <c r="Y13" s="156">
        <f>Y12-K13-L13</f>
        <v>-1211389</v>
      </c>
      <c r="Z13" s="217"/>
      <c r="AA13" s="92"/>
      <c r="AB13" s="92"/>
    </row>
    <row r="14" spans="2:255">
      <c r="B14" s="116">
        <v>43684</v>
      </c>
      <c r="C14" s="14"/>
      <c r="D14" s="87">
        <f>-3601+3384</f>
        <v>-217</v>
      </c>
      <c r="E14" s="87">
        <v>0</v>
      </c>
      <c r="F14" s="23">
        <v>-556634</v>
      </c>
      <c r="G14" s="26">
        <f>D14+E14+F14-E13-F13</f>
        <v>-5323</v>
      </c>
      <c r="H14" s="132">
        <v>700</v>
      </c>
      <c r="I14" s="63">
        <v>-6500</v>
      </c>
      <c r="J14" s="63">
        <v>-100</v>
      </c>
      <c r="K14" s="170">
        <f t="shared" si="8"/>
        <v>-5900</v>
      </c>
      <c r="L14" s="171">
        <v>13</v>
      </c>
      <c r="M14" s="154"/>
      <c r="N14" s="149">
        <f>L14+K14+G14+M14</f>
        <v>-11210</v>
      </c>
      <c r="O14" s="67">
        <f t="shared" si="2"/>
        <v>1062919.9312499999</v>
      </c>
      <c r="P14" s="7">
        <f t="shared" si="4"/>
        <v>8503359.4499999993</v>
      </c>
      <c r="Q14" s="164">
        <f>Q13+N14-1-1</f>
        <v>1344817.35</v>
      </c>
      <c r="R14" s="29">
        <f t="shared" si="3"/>
        <v>1021.9611956348874</v>
      </c>
      <c r="S14" s="5">
        <f>SUM($Q$7:$Q14)/T14+1</f>
        <v>1349469.0999999999</v>
      </c>
      <c r="T14" s="17">
        <v>8</v>
      </c>
      <c r="U14" s="4"/>
      <c r="V14" s="4"/>
      <c r="W14" s="105">
        <v>-1205501</v>
      </c>
      <c r="X14" s="167"/>
      <c r="Y14" s="156">
        <f>Y13-K14-L14+1</f>
        <v>-1205501</v>
      </c>
      <c r="Z14" s="217"/>
      <c r="AA14" s="92"/>
    </row>
    <row r="15" spans="2:255">
      <c r="B15" s="116">
        <v>43685</v>
      </c>
      <c r="C15" s="14" t="str">
        <f t="shared" si="0"/>
        <v/>
      </c>
      <c r="D15" s="87"/>
      <c r="E15" s="87">
        <v>0</v>
      </c>
      <c r="F15" s="23">
        <v>-556611</v>
      </c>
      <c r="G15" s="26">
        <f>D15+E15+F15-E14-F14</f>
        <v>23</v>
      </c>
      <c r="H15" s="132">
        <v>700</v>
      </c>
      <c r="I15" s="63">
        <v>-1600</v>
      </c>
      <c r="J15" s="63">
        <v>-100</v>
      </c>
      <c r="K15" s="170">
        <f t="shared" si="8"/>
        <v>-1000</v>
      </c>
      <c r="L15" s="172">
        <v>46</v>
      </c>
      <c r="M15" s="153"/>
      <c r="N15" s="149">
        <f>L15+K15+G15+M15</f>
        <v>-931</v>
      </c>
      <c r="O15" s="67">
        <f t="shared" si="2"/>
        <v>1079466.8666666665</v>
      </c>
      <c r="P15" s="7">
        <f t="shared" si="4"/>
        <v>9715201.7999999989</v>
      </c>
      <c r="Q15" s="164">
        <f>Q14+N15+1+2</f>
        <v>1343889.35</v>
      </c>
      <c r="R15" s="29">
        <f t="shared" si="3"/>
        <v>1021.4910137215451</v>
      </c>
      <c r="S15" s="5">
        <f>SUM($Q$7:$Q15)/T15</f>
        <v>1348848.2388888886</v>
      </c>
      <c r="T15" s="17">
        <v>9</v>
      </c>
      <c r="U15" s="4"/>
      <c r="V15" s="4"/>
      <c r="W15" s="105">
        <v>-1204548</v>
      </c>
      <c r="X15" s="167"/>
      <c r="Y15" s="156">
        <f>Y14-K15-L15-1</f>
        <v>-1204548</v>
      </c>
      <c r="Z15" s="217"/>
      <c r="AA15" s="92"/>
      <c r="AB15" s="92"/>
    </row>
    <row r="16" spans="2:255" s="69" customFormat="1">
      <c r="B16" s="116">
        <v>43686</v>
      </c>
      <c r="C16" s="14" t="str">
        <f t="shared" si="0"/>
        <v/>
      </c>
      <c r="D16" s="129"/>
      <c r="E16" s="87">
        <v>0</v>
      </c>
      <c r="F16" s="23">
        <v>-557128</v>
      </c>
      <c r="G16" s="26">
        <f>D16+E16+F16-E15-F15</f>
        <v>-517</v>
      </c>
      <c r="H16" s="132">
        <v>700</v>
      </c>
      <c r="I16" s="63">
        <v>6100</v>
      </c>
      <c r="J16" s="63">
        <v>-200</v>
      </c>
      <c r="K16" s="170">
        <f t="shared" si="8"/>
        <v>6600</v>
      </c>
      <c r="L16" s="172">
        <v>26</v>
      </c>
      <c r="M16" s="153"/>
      <c r="N16" s="152">
        <f>L16+K16+G16+M16</f>
        <v>6109</v>
      </c>
      <c r="O16" s="67">
        <f t="shared" si="2"/>
        <v>1093315.3149999999</v>
      </c>
      <c r="P16" s="70">
        <f t="shared" si="4"/>
        <v>10933153.149999999</v>
      </c>
      <c r="Q16" s="164">
        <f>Q15+N16</f>
        <v>1349998.35</v>
      </c>
      <c r="R16" s="71">
        <f t="shared" si="3"/>
        <v>1021.5781123387883</v>
      </c>
      <c r="S16" s="72">
        <f>SUM($Q$7:$Q16)/T16</f>
        <v>1348963.2499999998</v>
      </c>
      <c r="T16" s="73">
        <v>10</v>
      </c>
      <c r="U16" s="218"/>
      <c r="V16" s="133"/>
      <c r="W16" s="105">
        <v>-1211175</v>
      </c>
      <c r="X16" s="167"/>
      <c r="Y16" s="156">
        <f>Y15-K16-L16-1</f>
        <v>-1211175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43687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1104645.8636363635</v>
      </c>
      <c r="P17" s="7">
        <f t="shared" si="4"/>
        <v>12151104.499999998</v>
      </c>
      <c r="Q17" s="164">
        <f t="shared" si="5"/>
        <v>1349998.35</v>
      </c>
      <c r="R17" s="29">
        <f t="shared" si="3"/>
        <v>1021.6493748438054</v>
      </c>
      <c r="S17" s="5">
        <f>SUM($Q$7:$Q17)/T17</f>
        <v>1349057.3499999999</v>
      </c>
      <c r="T17" s="18">
        <v>11</v>
      </c>
      <c r="U17" s="27"/>
      <c r="V17" s="136"/>
      <c r="W17" s="105">
        <v>-1211175</v>
      </c>
      <c r="X17" s="167"/>
      <c r="Y17" s="156">
        <f t="shared" si="7"/>
        <v>-1211175</v>
      </c>
      <c r="Z17" s="217"/>
      <c r="AA17" s="92"/>
      <c r="AC17" s="92"/>
    </row>
    <row r="18" spans="2:31">
      <c r="B18" s="116">
        <v>43688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1114087.9874999998</v>
      </c>
      <c r="P18" s="7">
        <f t="shared" si="4"/>
        <v>13369055.849999998</v>
      </c>
      <c r="Q18" s="164">
        <f t="shared" si="5"/>
        <v>1349998.35</v>
      </c>
      <c r="R18" s="29">
        <f t="shared" si="3"/>
        <v>1021.7080029585424</v>
      </c>
      <c r="S18" s="5">
        <f>SUM($Q$7:$Q18)/T18-1</f>
        <v>1349134.7666666664</v>
      </c>
      <c r="T18" s="18">
        <v>12</v>
      </c>
      <c r="U18" s="27"/>
      <c r="V18" s="136"/>
      <c r="W18" s="105">
        <v>-1211175</v>
      </c>
      <c r="X18" s="167"/>
      <c r="Y18" s="156">
        <f t="shared" si="7"/>
        <v>-1211175</v>
      </c>
      <c r="Z18" s="217"/>
      <c r="AA18" s="92"/>
    </row>
    <row r="19" spans="2:31">
      <c r="B19" s="116">
        <v>43689</v>
      </c>
      <c r="C19" s="14" t="str">
        <f t="shared" si="0"/>
        <v/>
      </c>
      <c r="D19" s="87"/>
      <c r="E19" s="87">
        <v>6</v>
      </c>
      <c r="F19" s="23">
        <v>-546573</v>
      </c>
      <c r="G19" s="26">
        <f>D19+E19+F19-E16-F16</f>
        <v>10561</v>
      </c>
      <c r="H19" s="132">
        <v>500</v>
      </c>
      <c r="I19" s="25">
        <v>-14800</v>
      </c>
      <c r="J19" s="63">
        <v>-200</v>
      </c>
      <c r="K19" s="170">
        <f t="shared" si="8"/>
        <v>-14500</v>
      </c>
      <c r="L19" s="171">
        <v>-32</v>
      </c>
      <c r="M19" s="153"/>
      <c r="N19" s="149">
        <f t="shared" si="6"/>
        <v>-3971</v>
      </c>
      <c r="O19" s="67">
        <f t="shared" si="2"/>
        <v>1121772.0153846152</v>
      </c>
      <c r="P19" s="7">
        <f t="shared" si="4"/>
        <v>14583036.199999997</v>
      </c>
      <c r="Q19" s="164">
        <f>Q18+N19</f>
        <v>1346027.35</v>
      </c>
      <c r="R19" s="29">
        <f t="shared" si="3"/>
        <v>1021.527681577247</v>
      </c>
      <c r="S19" s="5">
        <f>SUM($Q$7:$Q19)/T19</f>
        <v>1348896.6576923074</v>
      </c>
      <c r="T19" s="18">
        <v>13</v>
      </c>
      <c r="U19" s="138">
        <f>B19</f>
        <v>43689</v>
      </c>
      <c r="V19" s="131" t="s">
        <v>281</v>
      </c>
      <c r="W19" s="105">
        <v>-1196643</v>
      </c>
      <c r="X19" s="167">
        <f>AVERAGE(W19:W27)</f>
        <v>-1179969.2222222222</v>
      </c>
      <c r="Y19" s="156">
        <f t="shared" si="7"/>
        <v>-1196643</v>
      </c>
      <c r="Z19" s="217">
        <f>AVERAGE(Y19:Y27)</f>
        <v>-1179969.2222222222</v>
      </c>
      <c r="AA19" s="92"/>
    </row>
    <row r="20" spans="2:31">
      <c r="B20" s="116">
        <v>43690</v>
      </c>
      <c r="C20" s="14"/>
      <c r="D20" s="87"/>
      <c r="E20" s="87">
        <v>6</v>
      </c>
      <c r="F20" s="23">
        <v>-554659</v>
      </c>
      <c r="G20" s="26">
        <f>D20+E20+F20-E19-F19</f>
        <v>-8086</v>
      </c>
      <c r="H20" s="132">
        <v>500</v>
      </c>
      <c r="I20" s="25">
        <v>-5200</v>
      </c>
      <c r="J20" s="63">
        <v>-200</v>
      </c>
      <c r="K20" s="170">
        <f t="shared" si="8"/>
        <v>-4900</v>
      </c>
      <c r="L20" s="171">
        <v>47</v>
      </c>
      <c r="M20" s="153"/>
      <c r="N20" s="149">
        <f t="shared" si="6"/>
        <v>-12939</v>
      </c>
      <c r="O20" s="67">
        <f t="shared" si="2"/>
        <v>1127434.1107142854</v>
      </c>
      <c r="P20" s="7">
        <f t="shared" si="4"/>
        <v>15784077.549999997</v>
      </c>
      <c r="Q20" s="164">
        <f>Q19+N20</f>
        <v>1333088.3500000001</v>
      </c>
      <c r="R20" s="29">
        <f t="shared" si="3"/>
        <v>1020.672558147586</v>
      </c>
      <c r="S20" s="5">
        <f>SUM($Q$7:$Q20)/T20</f>
        <v>1347767.4928571428</v>
      </c>
      <c r="T20" s="18">
        <v>14</v>
      </c>
      <c r="U20" s="138">
        <f>B19+8</f>
        <v>43697</v>
      </c>
      <c r="V20" s="131">
        <v>1418.9</v>
      </c>
      <c r="W20" s="105">
        <v>-1191790</v>
      </c>
      <c r="X20" s="167"/>
      <c r="Y20" s="156">
        <f>Y19-K20-L20</f>
        <v>-1191790</v>
      </c>
      <c r="Z20" s="217"/>
      <c r="AA20" s="92"/>
      <c r="AB20" s="92"/>
    </row>
    <row r="21" spans="2:31">
      <c r="B21" s="116">
        <v>43691</v>
      </c>
      <c r="C21" s="14" t="str">
        <f t="shared" si="0"/>
        <v/>
      </c>
      <c r="D21" s="87">
        <f>-3384+2990</f>
        <v>-394</v>
      </c>
      <c r="E21" s="87">
        <v>6</v>
      </c>
      <c r="F21" s="23">
        <v>-553294</v>
      </c>
      <c r="G21" s="26">
        <f>D21+E21+F21-E20-F20</f>
        <v>971</v>
      </c>
      <c r="H21" s="132">
        <v>-700</v>
      </c>
      <c r="I21" s="25">
        <v>4700</v>
      </c>
      <c r="J21" s="63">
        <v>-300</v>
      </c>
      <c r="K21" s="170">
        <f t="shared" si="8"/>
        <v>3700</v>
      </c>
      <c r="L21" s="171">
        <v>-12</v>
      </c>
      <c r="M21" s="153"/>
      <c r="N21" s="149">
        <f>L21+K21+G21+M21</f>
        <v>4659</v>
      </c>
      <c r="O21" s="67">
        <f t="shared" si="2"/>
        <v>1132651.8599999999</v>
      </c>
      <c r="P21" s="7">
        <f t="shared" si="4"/>
        <v>16989777.899999999</v>
      </c>
      <c r="Q21" s="164">
        <f>Q20+N21</f>
        <v>1337747.3500000001</v>
      </c>
      <c r="R21" s="29">
        <f t="shared" si="3"/>
        <v>1020.1659131470866</v>
      </c>
      <c r="S21" s="5">
        <f>SUM($Q$7:$Q21)/T21-1</f>
        <v>1347098.4833333334</v>
      </c>
      <c r="T21" s="18">
        <v>15</v>
      </c>
      <c r="U21" s="4"/>
      <c r="V21" s="131"/>
      <c r="W21" s="105">
        <v>-1195478</v>
      </c>
      <c r="X21" s="167"/>
      <c r="Y21" s="156">
        <f>Y20-K21-L21</f>
        <v>-1195478</v>
      </c>
      <c r="Z21" s="217"/>
      <c r="AA21" s="92"/>
    </row>
    <row r="22" spans="2:31">
      <c r="B22" s="116">
        <v>43692</v>
      </c>
      <c r="C22" s="14" t="str">
        <f t="shared" si="0"/>
        <v/>
      </c>
      <c r="D22" s="87"/>
      <c r="E22" s="87">
        <v>0</v>
      </c>
      <c r="F22" s="23">
        <v>-540856</v>
      </c>
      <c r="G22" s="26">
        <f>D22+E22+F22-E21-F21</f>
        <v>12432</v>
      </c>
      <c r="H22" s="132">
        <v>500</v>
      </c>
      <c r="I22" s="25">
        <v>-1500</v>
      </c>
      <c r="J22" s="63">
        <v>-300</v>
      </c>
      <c r="K22" s="170">
        <f t="shared" si="8"/>
        <v>-1300</v>
      </c>
      <c r="L22" s="171">
        <v>-43</v>
      </c>
      <c r="M22" s="153"/>
      <c r="N22" s="149">
        <f>L22+K22+G22+M22</f>
        <v>11089</v>
      </c>
      <c r="O22" s="67">
        <f t="shared" si="2"/>
        <v>1137910.515625</v>
      </c>
      <c r="P22" s="7">
        <f t="shared" si="4"/>
        <v>18206568.25</v>
      </c>
      <c r="Q22" s="164">
        <f>Q21+N22+1</f>
        <v>1348837.35</v>
      </c>
      <c r="R22" s="29">
        <f t="shared" si="3"/>
        <v>1020.2481692124774</v>
      </c>
      <c r="S22" s="5">
        <f>SUM($Q$7:$Q22)/T22-1</f>
        <v>1347207.1</v>
      </c>
      <c r="T22" s="18">
        <v>16</v>
      </c>
      <c r="U22" s="4"/>
      <c r="V22" s="131"/>
      <c r="W22" s="105">
        <v>-1194135</v>
      </c>
      <c r="X22" s="167"/>
      <c r="Y22" s="156">
        <f>Y21-K22-L22</f>
        <v>-1194135</v>
      </c>
      <c r="Z22" s="217"/>
      <c r="AA22" s="92"/>
    </row>
    <row r="23" spans="2:31">
      <c r="B23" s="116">
        <v>43693</v>
      </c>
      <c r="C23" s="14" t="str">
        <f t="shared" si="0"/>
        <v/>
      </c>
      <c r="D23" s="87"/>
      <c r="E23" s="87">
        <v>19</v>
      </c>
      <c r="F23" s="23">
        <v>-542213</v>
      </c>
      <c r="G23" s="26">
        <f t="shared" ref="G23" si="9">D23+E23+F23-E22-F22</f>
        <v>-1338</v>
      </c>
      <c r="H23" s="132">
        <v>3000</v>
      </c>
      <c r="I23" s="25">
        <v>-26600</v>
      </c>
      <c r="J23" s="63">
        <v>-300</v>
      </c>
      <c r="K23" s="170">
        <f t="shared" si="8"/>
        <v>-23900</v>
      </c>
      <c r="L23" s="171">
        <v>-13</v>
      </c>
      <c r="M23" s="153"/>
      <c r="N23" s="149">
        <f>L23+K23+G23+M23</f>
        <v>-25251</v>
      </c>
      <c r="O23" s="67">
        <f t="shared" si="2"/>
        <v>1141065.0352941176</v>
      </c>
      <c r="P23" s="7">
        <f t="shared" si="4"/>
        <v>19398105.600000001</v>
      </c>
      <c r="Q23" s="164">
        <f>Q22+N23-2</f>
        <v>1323584.3500000001</v>
      </c>
      <c r="R23" s="29">
        <f t="shared" si="3"/>
        <v>1019.1965494460751</v>
      </c>
      <c r="S23" s="5">
        <f>SUM($Q$7:$Q23)/T23</f>
        <v>1345818.4676470589</v>
      </c>
      <c r="T23" s="18">
        <v>17</v>
      </c>
      <c r="U23" s="27"/>
      <c r="V23" s="135"/>
      <c r="W23" s="105">
        <v>-1170222</v>
      </c>
      <c r="X23" s="167"/>
      <c r="Y23" s="156">
        <f t="shared" si="7"/>
        <v>-1170222</v>
      </c>
      <c r="Z23" s="217"/>
      <c r="AA23" s="92"/>
    </row>
    <row r="24" spans="2:31">
      <c r="B24" s="116">
        <v>43694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1143869.0527777779</v>
      </c>
      <c r="P24" s="7">
        <f t="shared" si="4"/>
        <v>20589642.950000003</v>
      </c>
      <c r="Q24" s="164">
        <f t="shared" si="5"/>
        <v>1323584.3500000001</v>
      </c>
      <c r="R24" s="29">
        <f t="shared" si="3"/>
        <v>1018.2611031593972</v>
      </c>
      <c r="S24" s="5">
        <f>SUM($Q$7:$Q24)/T24</f>
        <v>1344583.2388888891</v>
      </c>
      <c r="T24" s="18">
        <v>18</v>
      </c>
      <c r="U24" s="4"/>
      <c r="V24" s="135"/>
      <c r="W24" s="105">
        <v>-1170222</v>
      </c>
      <c r="X24" s="167"/>
      <c r="Y24" s="156">
        <f t="shared" si="7"/>
        <v>-1170222</v>
      </c>
      <c r="Z24" s="217"/>
      <c r="AA24" s="92"/>
      <c r="AD24" s="1"/>
      <c r="AE24" s="1"/>
    </row>
    <row r="25" spans="2:31">
      <c r="B25" s="116">
        <v>43695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1146377.9105263159</v>
      </c>
      <c r="P25" s="7">
        <f t="shared" si="4"/>
        <v>21781180.300000004</v>
      </c>
      <c r="Q25" s="164">
        <f t="shared" si="5"/>
        <v>1323584.3500000001</v>
      </c>
      <c r="R25" s="29">
        <f t="shared" si="3"/>
        <v>1017.4241249028956</v>
      </c>
      <c r="S25" s="5">
        <f>SUM($Q$7:$Q25)/T25</f>
        <v>1343478.0342105266</v>
      </c>
      <c r="T25" s="18">
        <v>19</v>
      </c>
      <c r="U25" s="4"/>
      <c r="V25" s="131"/>
      <c r="W25" s="105">
        <v>-1170222</v>
      </c>
      <c r="X25" s="167"/>
      <c r="Y25" s="156">
        <f t="shared" si="7"/>
        <v>-1170222</v>
      </c>
      <c r="Z25" s="217"/>
      <c r="AA25" s="92"/>
      <c r="AD25" s="1"/>
      <c r="AE25" s="1"/>
    </row>
    <row r="26" spans="2:31">
      <c r="B26" s="116">
        <v>43696</v>
      </c>
      <c r="C26" s="14" t="str">
        <f t="shared" si="0"/>
        <v/>
      </c>
      <c r="D26" s="87"/>
      <c r="E26" s="87">
        <v>0</v>
      </c>
      <c r="F26" s="23">
        <v>-545215</v>
      </c>
      <c r="G26" s="26">
        <f>D26+E26+F26-E23-F23</f>
        <v>-3021</v>
      </c>
      <c r="H26" s="132">
        <v>500</v>
      </c>
      <c r="I26" s="25">
        <v>-7400</v>
      </c>
      <c r="J26" s="63">
        <v>1000</v>
      </c>
      <c r="K26" s="170">
        <f t="shared" si="8"/>
        <v>-5900</v>
      </c>
      <c r="L26" s="171">
        <v>48</v>
      </c>
      <c r="M26" s="153"/>
      <c r="N26" s="149">
        <f t="shared" si="6"/>
        <v>-8873</v>
      </c>
      <c r="O26" s="67">
        <f t="shared" si="2"/>
        <v>1148192.2325000004</v>
      </c>
      <c r="P26" s="7">
        <f t="shared" si="4"/>
        <v>22963844.650000006</v>
      </c>
      <c r="Q26" s="164">
        <f>Q25+N26</f>
        <v>1314711.3500000001</v>
      </c>
      <c r="R26" s="29">
        <f t="shared" si="3"/>
        <v>1016.3348656160309</v>
      </c>
      <c r="S26" s="5">
        <f>SUM($Q$7:$Q26)/T26</f>
        <v>1342039.7000000004</v>
      </c>
      <c r="T26" s="18">
        <v>20</v>
      </c>
      <c r="U26" s="138">
        <f>B26</f>
        <v>43696</v>
      </c>
      <c r="V26" s="131" t="s">
        <v>282</v>
      </c>
      <c r="W26" s="105">
        <v>-1164370</v>
      </c>
      <c r="X26" s="167">
        <f>AVERAGE(W26:W34)</f>
        <v>-1152121.6666666667</v>
      </c>
      <c r="Y26" s="156">
        <f>Y25-K26-L26</f>
        <v>-1164370</v>
      </c>
      <c r="Z26" s="217">
        <f>AVERAGE(Y26:Y34)</f>
        <v>-1152121.6666666667</v>
      </c>
      <c r="AC26" s="92"/>
      <c r="AD26" s="1"/>
      <c r="AE26" s="1"/>
    </row>
    <row r="27" spans="2:31">
      <c r="B27" s="116">
        <v>43697</v>
      </c>
      <c r="C27" s="14" t="str">
        <f t="shared" si="0"/>
        <v/>
      </c>
      <c r="D27" s="87"/>
      <c r="E27" s="87">
        <v>1</v>
      </c>
      <c r="F27" s="23">
        <v>-531054</v>
      </c>
      <c r="G27" s="26">
        <f>D27+E27+F27-E26-F26</f>
        <v>14162</v>
      </c>
      <c r="H27" s="132">
        <v>-100</v>
      </c>
      <c r="I27" s="25">
        <v>1400</v>
      </c>
      <c r="J27" s="63">
        <v>1000</v>
      </c>
      <c r="K27" s="170">
        <f t="shared" si="8"/>
        <v>2300</v>
      </c>
      <c r="L27" s="171">
        <v>-29</v>
      </c>
      <c r="M27" s="153"/>
      <c r="N27" s="149">
        <f>L27+K27+G27+M27</f>
        <v>16433</v>
      </c>
      <c r="O27" s="67">
        <f t="shared" si="2"/>
        <v>1150616.3333333337</v>
      </c>
      <c r="P27" s="7">
        <f t="shared" si="4"/>
        <v>24162943.000000007</v>
      </c>
      <c r="Q27" s="164">
        <f>Q26+N27+2-1</f>
        <v>1331145.3500000001</v>
      </c>
      <c r="R27" s="29">
        <f t="shared" si="3"/>
        <v>1015.9427487398972</v>
      </c>
      <c r="S27" s="5">
        <f>SUM($Q$7:$Q27)/T27+1</f>
        <v>1341521.9214285719</v>
      </c>
      <c r="T27" s="18">
        <v>21</v>
      </c>
      <c r="U27" s="138">
        <f>B28+6</f>
        <v>43704</v>
      </c>
      <c r="V27" s="159">
        <v>1450.8</v>
      </c>
      <c r="W27" s="105">
        <v>-1166641</v>
      </c>
      <c r="X27" s="167"/>
      <c r="Y27" s="156">
        <f>Y26-K27-L27</f>
        <v>-1166641</v>
      </c>
      <c r="Z27" s="217"/>
      <c r="AA27" s="92"/>
      <c r="AD27" s="1"/>
      <c r="AE27" s="1"/>
    </row>
    <row r="28" spans="2:31">
      <c r="B28" s="116">
        <v>43698</v>
      </c>
      <c r="C28" s="14" t="str">
        <f t="shared" si="0"/>
        <v/>
      </c>
      <c r="D28" s="87">
        <f>-2990+2973</f>
        <v>-17</v>
      </c>
      <c r="E28" s="87">
        <v>4</v>
      </c>
      <c r="F28" s="23">
        <v>-524311</v>
      </c>
      <c r="G28" s="26">
        <f>D28+E28+F28-E27-F27</f>
        <v>6729</v>
      </c>
      <c r="H28" s="132">
        <v>-2700</v>
      </c>
      <c r="I28" s="25">
        <v>3200</v>
      </c>
      <c r="J28" s="25">
        <v>1000</v>
      </c>
      <c r="K28" s="170">
        <f t="shared" si="8"/>
        <v>1500</v>
      </c>
      <c r="L28" s="171">
        <v>-8</v>
      </c>
      <c r="M28" s="153"/>
      <c r="N28" s="149">
        <f>L28+K28+G28+M28</f>
        <v>8221</v>
      </c>
      <c r="O28" s="67">
        <f t="shared" si="2"/>
        <v>1153193.6977272732</v>
      </c>
      <c r="P28" s="7">
        <f t="shared" si="4"/>
        <v>25370261.350000009</v>
      </c>
      <c r="Q28" s="164">
        <f>Q27+N28-2+1</f>
        <v>1339365.3500000001</v>
      </c>
      <c r="R28" s="29">
        <f t="shared" si="3"/>
        <v>1015.8677901876539</v>
      </c>
      <c r="S28" s="5">
        <f>SUM($Q$7:$Q28)/T28</f>
        <v>1341422.9409090914</v>
      </c>
      <c r="T28" s="18">
        <v>22</v>
      </c>
      <c r="U28" s="4"/>
      <c r="V28" s="131"/>
      <c r="W28" s="105">
        <v>-1168132</v>
      </c>
      <c r="X28" s="167"/>
      <c r="Y28" s="156">
        <f>Y27-K28-L28+1</f>
        <v>-1168132</v>
      </c>
      <c r="Z28" s="217"/>
      <c r="AA28" s="92"/>
      <c r="AD28" s="1"/>
      <c r="AE28" s="1"/>
    </row>
    <row r="29" spans="2:31">
      <c r="B29" s="116">
        <v>43699</v>
      </c>
      <c r="C29" s="14" t="str">
        <f t="shared" si="0"/>
        <v/>
      </c>
      <c r="D29" s="87"/>
      <c r="E29" s="87">
        <v>30</v>
      </c>
      <c r="F29" s="23">
        <v>-539410</v>
      </c>
      <c r="G29" s="26">
        <f>D29+E29+F29-E28-F28</f>
        <v>-15073</v>
      </c>
      <c r="H29" s="132">
        <v>-7900</v>
      </c>
      <c r="I29" s="25">
        <v>-2300</v>
      </c>
      <c r="J29" s="25">
        <v>900</v>
      </c>
      <c r="K29" s="170">
        <f t="shared" si="8"/>
        <v>-9300</v>
      </c>
      <c r="L29" s="171">
        <v>-27</v>
      </c>
      <c r="M29" s="153"/>
      <c r="N29" s="149">
        <f>L29+K29+G29+M29</f>
        <v>-24400</v>
      </c>
      <c r="O29" s="67">
        <f t="shared" si="2"/>
        <v>1154486.2043478265</v>
      </c>
      <c r="P29" s="7">
        <f t="shared" si="4"/>
        <v>26553182.70000001</v>
      </c>
      <c r="Q29" s="164">
        <f>Q28+N29+2+1</f>
        <v>1314968.3500000001</v>
      </c>
      <c r="R29" s="29">
        <f t="shared" si="3"/>
        <v>1015.0012808351182</v>
      </c>
      <c r="S29" s="5">
        <f>SUM($Q$7:$Q29)/T29+6</f>
        <v>1340278.7413043485</v>
      </c>
      <c r="T29" s="18">
        <v>23</v>
      </c>
      <c r="U29" s="4"/>
      <c r="V29" s="131"/>
      <c r="W29" s="105">
        <v>-1158807</v>
      </c>
      <c r="X29" s="167"/>
      <c r="Y29" s="156">
        <f>Y28-K29-L29-2</f>
        <v>-1158807</v>
      </c>
      <c r="Z29" s="217"/>
      <c r="AA29" s="92"/>
      <c r="AD29" s="1"/>
      <c r="AE29" s="1"/>
    </row>
    <row r="30" spans="2:31">
      <c r="B30" s="116">
        <v>43700</v>
      </c>
      <c r="C30" s="14" t="str">
        <f t="shared" si="0"/>
        <v/>
      </c>
      <c r="D30" s="87"/>
      <c r="E30" s="87">
        <v>16</v>
      </c>
      <c r="F30" s="23">
        <v>-537669</v>
      </c>
      <c r="G30" s="26">
        <f>D30+E30+F30-E29-F29</f>
        <v>1727</v>
      </c>
      <c r="H30" s="132">
        <v>-15000</v>
      </c>
      <c r="I30" s="25">
        <v>-3400</v>
      </c>
      <c r="J30" s="25">
        <v>900</v>
      </c>
      <c r="K30" s="170">
        <f t="shared" si="8"/>
        <v>-17500</v>
      </c>
      <c r="L30" s="171">
        <v>-15</v>
      </c>
      <c r="M30" s="153"/>
      <c r="N30" s="149">
        <f t="shared" si="6"/>
        <v>-15788</v>
      </c>
      <c r="O30" s="67">
        <f t="shared" si="2"/>
        <v>1155012.8354166672</v>
      </c>
      <c r="P30" s="7">
        <f t="shared" si="4"/>
        <v>27720308.050000012</v>
      </c>
      <c r="Q30" s="164">
        <f>Q29+N30+1-9</f>
        <v>1299172.3500000001</v>
      </c>
      <c r="R30" s="29">
        <f t="shared" si="3"/>
        <v>1013.704381773157</v>
      </c>
      <c r="S30" s="5">
        <f>SUM($Q$7:$Q30)/T30+6</f>
        <v>1338566.2250000006</v>
      </c>
      <c r="T30" s="18">
        <v>24</v>
      </c>
      <c r="U30" s="4"/>
      <c r="V30" s="131"/>
      <c r="W30" s="105">
        <v>-1141294</v>
      </c>
      <c r="X30" s="167"/>
      <c r="Y30" s="156">
        <f>Y29-K30-L30-2</f>
        <v>-1141294</v>
      </c>
      <c r="Z30" s="217"/>
      <c r="AA30" s="92"/>
      <c r="AD30" s="1"/>
      <c r="AE30" s="1"/>
    </row>
    <row r="31" spans="2:31">
      <c r="B31" s="116">
        <v>43701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1155497.3360000006</v>
      </c>
      <c r="P31" s="7">
        <f t="shared" si="4"/>
        <v>28887433.400000013</v>
      </c>
      <c r="Q31" s="164">
        <f t="shared" si="5"/>
        <v>1299172.3500000001</v>
      </c>
      <c r="R31" s="29">
        <f t="shared" si="3"/>
        <v>1012.5082054117099</v>
      </c>
      <c r="S31" s="5">
        <f>SUM($Q$7:$Q31)/T31+2</f>
        <v>1336986.7100000007</v>
      </c>
      <c r="T31" s="18">
        <v>25</v>
      </c>
      <c r="U31" s="4"/>
      <c r="V31" s="137"/>
      <c r="W31" s="105">
        <v>-1141294</v>
      </c>
      <c r="X31" s="167"/>
      <c r="Y31" s="156">
        <f t="shared" si="7"/>
        <v>-1141294</v>
      </c>
      <c r="Z31" s="217"/>
      <c r="AA31" s="92"/>
      <c r="AB31" s="92"/>
      <c r="AD31" s="1"/>
      <c r="AE31" s="1"/>
    </row>
    <row r="32" spans="2:31">
      <c r="B32" s="116">
        <v>43702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1155944.567307693</v>
      </c>
      <c r="P32" s="7">
        <f t="shared" si="4"/>
        <v>30054558.750000015</v>
      </c>
      <c r="Q32" s="164">
        <f t="shared" si="5"/>
        <v>1299172.3500000001</v>
      </c>
      <c r="R32" s="29">
        <f t="shared" si="3"/>
        <v>1011.4045669053739</v>
      </c>
      <c r="S32" s="5">
        <f>SUM($Q$7:$Q32)/T32-1</f>
        <v>1335529.3884615391</v>
      </c>
      <c r="T32" s="18">
        <v>26</v>
      </c>
      <c r="U32" s="27"/>
      <c r="V32" s="137"/>
      <c r="W32" s="105">
        <v>-1141294</v>
      </c>
      <c r="X32" s="167"/>
      <c r="Y32" s="156">
        <f t="shared" si="7"/>
        <v>-1141294</v>
      </c>
      <c r="Z32" s="217"/>
      <c r="AD32" s="1"/>
      <c r="AE32" s="1"/>
    </row>
    <row r="33" spans="2:31">
      <c r="B33" s="116">
        <v>43703</v>
      </c>
      <c r="C33" s="14" t="str">
        <f t="shared" si="0"/>
        <v/>
      </c>
      <c r="D33" s="87"/>
      <c r="E33" s="87">
        <v>30</v>
      </c>
      <c r="F33" s="23">
        <v>-526339</v>
      </c>
      <c r="G33" s="26">
        <f>D33+E33+F33-E30-F30</f>
        <v>11344</v>
      </c>
      <c r="H33" s="132">
        <v>300</v>
      </c>
      <c r="I33" s="25">
        <v>2300</v>
      </c>
      <c r="J33" s="25">
        <v>-300</v>
      </c>
      <c r="K33" s="170">
        <f t="shared" si="8"/>
        <v>2300</v>
      </c>
      <c r="L33" s="171">
        <v>12</v>
      </c>
      <c r="M33" s="153"/>
      <c r="N33" s="149">
        <f t="shared" si="6"/>
        <v>13656</v>
      </c>
      <c r="O33" s="67">
        <f t="shared" si="2"/>
        <v>1156864.4481481488</v>
      </c>
      <c r="P33" s="7">
        <f t="shared" si="4"/>
        <v>31235340.100000016</v>
      </c>
      <c r="Q33" s="164">
        <f>Q32+N33</f>
        <v>1312828.3500000001</v>
      </c>
      <c r="R33" s="29">
        <f t="shared" si="3"/>
        <v>1010.7678116293613</v>
      </c>
      <c r="S33" s="5">
        <f>SUM($Q$7:$Q33)/T33-1</f>
        <v>1334688.5722222228</v>
      </c>
      <c r="T33" s="18">
        <v>27</v>
      </c>
      <c r="U33" s="138">
        <f>B33</f>
        <v>43703</v>
      </c>
      <c r="V33" s="131" t="s">
        <v>283</v>
      </c>
      <c r="W33" s="105">
        <v>-1143607</v>
      </c>
      <c r="X33" s="167">
        <f>AVERAGE(W33:W55)</f>
        <v>-1194268.7391304348</v>
      </c>
      <c r="Y33" s="156">
        <f>Y32-K33-L33-1</f>
        <v>-1143607</v>
      </c>
      <c r="Z33" s="217">
        <f>AVERAGE(Y33:Y41)</f>
        <v>-1175367.3333333333</v>
      </c>
      <c r="AD33" s="1"/>
      <c r="AE33" s="1"/>
    </row>
    <row r="34" spans="2:31">
      <c r="B34" s="116">
        <v>43704</v>
      </c>
      <c r="C34" s="14" t="str">
        <f t="shared" si="0"/>
        <v/>
      </c>
      <c r="D34" s="87"/>
      <c r="E34" s="87">
        <v>32</v>
      </c>
      <c r="F34" s="23">
        <v>-524097</v>
      </c>
      <c r="G34" s="26">
        <f>D34+E34+F34-E33-F33</f>
        <v>2244</v>
      </c>
      <c r="H34" s="132">
        <v>-3800</v>
      </c>
      <c r="I34" s="25">
        <v>4100</v>
      </c>
      <c r="J34" s="25">
        <v>-300</v>
      </c>
      <c r="K34" s="170">
        <f t="shared" si="8"/>
        <v>0</v>
      </c>
      <c r="L34" s="171">
        <v>33</v>
      </c>
      <c r="M34" s="153"/>
      <c r="N34" s="149">
        <f>L34+K34+G34+M34</f>
        <v>2277</v>
      </c>
      <c r="O34" s="67">
        <f t="shared" si="2"/>
        <v>1157800.8732142863</v>
      </c>
      <c r="P34" s="7">
        <f t="shared" si="4"/>
        <v>32418424.450000018</v>
      </c>
      <c r="Q34" s="164">
        <f>Q33+N34+26</f>
        <v>1315131.3500000001</v>
      </c>
      <c r="R34" s="29">
        <f t="shared" si="3"/>
        <v>1010.23958460678</v>
      </c>
      <c r="S34" s="5">
        <f>SUM($Q$7:$Q34)/T34</f>
        <v>1333991.0642857149</v>
      </c>
      <c r="T34" s="18">
        <v>28</v>
      </c>
      <c r="U34" s="138">
        <f>B33+8</f>
        <v>43711</v>
      </c>
      <c r="V34" s="131">
        <v>1432.4</v>
      </c>
      <c r="W34" s="105">
        <v>-1143656</v>
      </c>
      <c r="X34" s="167"/>
      <c r="Y34" s="156">
        <f>Y33-K34-L34-16</f>
        <v>-1143656</v>
      </c>
      <c r="Z34" s="217"/>
      <c r="AA34" s="92"/>
      <c r="AD34" s="1"/>
      <c r="AE34" s="1"/>
    </row>
    <row r="35" spans="2:31">
      <c r="B35" s="116">
        <v>43705</v>
      </c>
      <c r="C35" s="14" t="str">
        <f t="shared" si="0"/>
        <v/>
      </c>
      <c r="D35" s="87">
        <f>-2973+3347.6</f>
        <v>374.59999999999991</v>
      </c>
      <c r="E35" s="87">
        <v>40</v>
      </c>
      <c r="F35" s="23">
        <v>-533098</v>
      </c>
      <c r="G35" s="26">
        <f>D35+E35+F35-E34-F34</f>
        <v>-8618.4000000000233</v>
      </c>
      <c r="H35" s="132">
        <v>600</v>
      </c>
      <c r="I35" s="25">
        <v>7300</v>
      </c>
      <c r="J35" s="25">
        <v>-300</v>
      </c>
      <c r="K35" s="170">
        <f t="shared" si="8"/>
        <v>7600</v>
      </c>
      <c r="L35" s="171">
        <v>42</v>
      </c>
      <c r="M35" s="153"/>
      <c r="N35" s="149">
        <f t="shared" si="6"/>
        <v>-976.40000000002328</v>
      </c>
      <c r="O35" s="67">
        <f t="shared" si="2"/>
        <v>1158639.0482758628</v>
      </c>
      <c r="P35" s="7">
        <f t="shared" si="4"/>
        <v>33600532.400000021</v>
      </c>
      <c r="Q35" s="164">
        <f>Q34+N35</f>
        <v>1314154.9500000002</v>
      </c>
      <c r="R35" s="29">
        <f t="shared" si="3"/>
        <v>1009.7215842426017</v>
      </c>
      <c r="S35" s="5">
        <f>SUM($Q$7:$Q35)/T35</f>
        <v>1333307.0603448283</v>
      </c>
      <c r="T35" s="18">
        <v>29</v>
      </c>
      <c r="U35" s="4"/>
      <c r="V35" s="131"/>
      <c r="W35" s="105">
        <v>-1151299</v>
      </c>
      <c r="X35" s="167"/>
      <c r="Y35" s="156">
        <f>Y34-K35-L35-1</f>
        <v>-1151299</v>
      </c>
      <c r="Z35" s="217"/>
      <c r="AA35" s="92"/>
      <c r="AD35" s="1"/>
      <c r="AE35" s="1"/>
    </row>
    <row r="36" spans="2:31">
      <c r="B36" s="116">
        <v>43706</v>
      </c>
      <c r="C36" s="14" t="str">
        <f t="shared" si="0"/>
        <v/>
      </c>
      <c r="D36" s="87">
        <f>-1399+1138</f>
        <v>-261</v>
      </c>
      <c r="E36" s="87">
        <v>33</v>
      </c>
      <c r="F36" s="23">
        <v>-535988</v>
      </c>
      <c r="G36" s="26">
        <f>D36+E36+F36-E35-F35</f>
        <v>-3158</v>
      </c>
      <c r="H36" s="132">
        <v>-1400</v>
      </c>
      <c r="I36" s="25">
        <v>5100</v>
      </c>
      <c r="J36" s="25">
        <v>-300</v>
      </c>
      <c r="K36" s="170">
        <f t="shared" si="8"/>
        <v>3400</v>
      </c>
      <c r="L36" s="171">
        <v>-36</v>
      </c>
      <c r="M36" s="153"/>
      <c r="N36" s="149">
        <f>L36+K36+G36+M36</f>
        <v>206</v>
      </c>
      <c r="O36" s="67">
        <f t="shared" si="2"/>
        <v>1159428.1116666675</v>
      </c>
      <c r="P36" s="7">
        <f t="shared" si="4"/>
        <v>34782843.350000024</v>
      </c>
      <c r="Q36" s="164">
        <f>Q35+N36-2-1</f>
        <v>1314357.9500000002</v>
      </c>
      <c r="R36" s="29">
        <f t="shared" si="3"/>
        <v>1009.2432416740511</v>
      </c>
      <c r="S36" s="5">
        <f>SUM($Q$7:$Q36)/T36</f>
        <v>1332675.4233333343</v>
      </c>
      <c r="T36" s="18">
        <v>30</v>
      </c>
      <c r="U36" s="4"/>
      <c r="V36" s="136"/>
      <c r="W36" s="105">
        <v>-1154660</v>
      </c>
      <c r="X36" s="167"/>
      <c r="Y36" s="156">
        <f>Y35-K36-L36+3</f>
        <v>-1154660</v>
      </c>
      <c r="Z36" s="217"/>
      <c r="AD36" s="1"/>
      <c r="AE36" s="1"/>
    </row>
    <row r="37" spans="2:31">
      <c r="B37" s="116">
        <v>43707</v>
      </c>
      <c r="C37" s="14" t="str">
        <f t="shared" si="0"/>
        <v/>
      </c>
      <c r="D37" s="87"/>
      <c r="E37" s="87">
        <v>0</v>
      </c>
      <c r="F37" s="23">
        <v>-554736</v>
      </c>
      <c r="G37" s="26">
        <f>D37+E37+F37-E36-F36</f>
        <v>-18781</v>
      </c>
      <c r="H37" s="132">
        <v>600</v>
      </c>
      <c r="I37" s="25">
        <v>22600</v>
      </c>
      <c r="J37" s="25">
        <v>-400</v>
      </c>
      <c r="K37" s="170">
        <f t="shared" si="8"/>
        <v>22800</v>
      </c>
      <c r="L37" s="171">
        <v>24</v>
      </c>
      <c r="M37" s="153"/>
      <c r="N37" s="149">
        <f>L37+K37+G37+M37</f>
        <v>4043</v>
      </c>
      <c r="O37" s="67">
        <f t="shared" si="2"/>
        <v>1160296.6225806461</v>
      </c>
      <c r="P37" s="7">
        <f t="shared" si="4"/>
        <v>35969195.300000027</v>
      </c>
      <c r="Q37" s="164">
        <f>Q36+N37-2</f>
        <v>1318398.9500000002</v>
      </c>
      <c r="R37" s="29">
        <f t="shared" si="3"/>
        <v>1008.8952357383997</v>
      </c>
      <c r="S37" s="5">
        <f>SUM($Q$7:$Q37)/T37+1</f>
        <v>1332215.8919354847</v>
      </c>
      <c r="T37" s="18">
        <v>31</v>
      </c>
      <c r="U37" s="27"/>
      <c r="V37" s="137"/>
      <c r="W37" s="105">
        <v>-1177481</v>
      </c>
      <c r="X37" s="167"/>
      <c r="Y37" s="156">
        <f>Y36-K37-L37+3</f>
        <v>-1177481</v>
      </c>
      <c r="Z37" s="217"/>
      <c r="AA37" s="92"/>
      <c r="AD37" s="1"/>
      <c r="AE37" s="1"/>
    </row>
    <row r="38" spans="2:31">
      <c r="B38" s="116">
        <v>43708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1161110.8515625009</v>
      </c>
      <c r="P38" s="7">
        <f t="shared" si="4"/>
        <v>37155547.25000003</v>
      </c>
      <c r="Q38" s="164">
        <f t="shared" si="5"/>
        <v>1318398.9500000002</v>
      </c>
      <c r="R38" s="29">
        <f t="shared" si="3"/>
        <v>1008.5675128931373</v>
      </c>
      <c r="S38" s="5">
        <f>SUM($Q$7:$Q38)/T38</f>
        <v>1331783.143750001</v>
      </c>
      <c r="T38" s="18">
        <v>32</v>
      </c>
      <c r="U38" s="27"/>
      <c r="V38" s="137"/>
      <c r="W38" s="105">
        <v>-1177481</v>
      </c>
      <c r="X38" s="167"/>
      <c r="Y38" s="156">
        <f t="shared" si="7"/>
        <v>-1177481</v>
      </c>
      <c r="Z38" s="217"/>
      <c r="AD38" s="1"/>
      <c r="AE38" s="1"/>
    </row>
    <row r="39" spans="2:31">
      <c r="B39" s="116">
        <v>43709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1161875.7333333343</v>
      </c>
      <c r="P39" s="7">
        <f t="shared" si="4"/>
        <v>38341899.200000033</v>
      </c>
      <c r="Q39" s="164">
        <f t="shared" si="5"/>
        <v>1318398.9500000002</v>
      </c>
      <c r="R39" s="29">
        <f t="shared" si="3"/>
        <v>1008.2596061411566</v>
      </c>
      <c r="S39" s="5">
        <f>SUM($Q$7:$Q39)/T39-1</f>
        <v>1331376.5621212132</v>
      </c>
      <c r="T39" s="18">
        <v>33</v>
      </c>
      <c r="U39" s="27"/>
      <c r="V39" s="137"/>
      <c r="W39" s="105">
        <v>-1177481</v>
      </c>
      <c r="X39" s="167"/>
      <c r="Y39" s="156">
        <f t="shared" si="7"/>
        <v>-1177481</v>
      </c>
      <c r="Z39" s="217"/>
      <c r="AD39" s="1"/>
      <c r="AE39" s="1"/>
    </row>
    <row r="40" spans="2:31">
      <c r="B40" s="116">
        <v>43710</v>
      </c>
      <c r="C40" s="14" t="str">
        <f t="shared" si="0"/>
        <v/>
      </c>
      <c r="D40" s="87"/>
      <c r="E40" s="87">
        <v>150</v>
      </c>
      <c r="F40" s="23">
        <v>-564714</v>
      </c>
      <c r="G40" s="26">
        <f>D40+E40+F40-E37-F37</f>
        <v>-9828</v>
      </c>
      <c r="H40" s="132">
        <v>35100</v>
      </c>
      <c r="I40" s="25">
        <v>11200</v>
      </c>
      <c r="J40" s="25">
        <v>-100</v>
      </c>
      <c r="K40" s="170">
        <f t="shared" si="8"/>
        <v>46200</v>
      </c>
      <c r="L40" s="171">
        <v>-6</v>
      </c>
      <c r="M40" s="153"/>
      <c r="N40" s="149">
        <f t="shared" si="6"/>
        <v>36366</v>
      </c>
      <c r="O40" s="67">
        <f t="shared" si="2"/>
        <v>1163665.180882354</v>
      </c>
      <c r="P40" s="7">
        <f t="shared" si="4"/>
        <v>39564616.150000036</v>
      </c>
      <c r="Q40" s="164">
        <f>Q39+N40-1</f>
        <v>1354763.9500000002</v>
      </c>
      <c r="R40" s="29">
        <f t="shared" si="3"/>
        <v>1008.7812650486756</v>
      </c>
      <c r="S40" s="5">
        <f>SUM($Q$7:$Q40)/T40</f>
        <v>1332065.3970588245</v>
      </c>
      <c r="T40" s="18">
        <v>34</v>
      </c>
      <c r="U40" s="138">
        <f>B40</f>
        <v>43710</v>
      </c>
      <c r="V40" s="131" t="s">
        <v>284</v>
      </c>
      <c r="W40" s="105">
        <v>-1223674</v>
      </c>
      <c r="X40" s="167">
        <f>AVERAGE(W40:W62)</f>
        <v>-1208907.25</v>
      </c>
      <c r="Y40" s="156">
        <f>Y39-K40-L40+1</f>
        <v>-1223674</v>
      </c>
      <c r="Z40" s="217">
        <f>AVERAGE(Y40:Y48)</f>
        <v>-1221786.6666666667</v>
      </c>
      <c r="AD40" s="1"/>
      <c r="AE40" s="1"/>
    </row>
    <row r="41" spans="2:31">
      <c r="B41" s="116">
        <v>43711</v>
      </c>
      <c r="C41" s="14" t="str">
        <f t="shared" si="0"/>
        <v/>
      </c>
      <c r="D41" s="250"/>
      <c r="E41" s="250">
        <v>250</v>
      </c>
      <c r="F41" s="251">
        <v>-560893</v>
      </c>
      <c r="G41" s="252">
        <f>D41+E41+F41-E40-F40</f>
        <v>3921</v>
      </c>
      <c r="H41" s="253">
        <v>700</v>
      </c>
      <c r="I41" s="254">
        <v>4700</v>
      </c>
      <c r="J41" s="254">
        <v>-100</v>
      </c>
      <c r="K41" s="255">
        <f t="shared" si="8"/>
        <v>5300</v>
      </c>
      <c r="L41" s="171">
        <v>-6</v>
      </c>
      <c r="M41" s="153"/>
      <c r="N41" s="149">
        <f t="shared" si="6"/>
        <v>9215</v>
      </c>
      <c r="O41" s="67">
        <f t="shared" si="2"/>
        <v>1165615.6028571439</v>
      </c>
      <c r="P41" s="7">
        <f t="shared" si="4"/>
        <v>40796546.100000039</v>
      </c>
      <c r="Q41" s="164">
        <f>Q40+N41-2</f>
        <v>1363976.9500000002</v>
      </c>
      <c r="R41" s="29">
        <f t="shared" si="3"/>
        <v>1009.4717454499435</v>
      </c>
      <c r="S41" s="5">
        <f>SUM($Q$7:$Q41)/T41</f>
        <v>1332977.155714287</v>
      </c>
      <c r="T41" s="18">
        <v>35</v>
      </c>
      <c r="U41" s="138">
        <f>B40+8</f>
        <v>43718</v>
      </c>
      <c r="V41" s="131">
        <v>1379.5</v>
      </c>
      <c r="W41" s="105">
        <v>-1228967</v>
      </c>
      <c r="X41" s="167"/>
      <c r="Y41" s="156">
        <f t="shared" ref="Y41:Y54" si="10">Y40-K41-L41+1</f>
        <v>-1228967</v>
      </c>
      <c r="Z41" s="217"/>
      <c r="AD41" s="1"/>
      <c r="AE41" s="1"/>
    </row>
    <row r="42" spans="2:31">
      <c r="B42" s="116">
        <v>43712</v>
      </c>
      <c r="C42" s="14" t="str">
        <f t="shared" si="0"/>
        <v/>
      </c>
      <c r="D42" s="250">
        <f>-3347.6+2347</f>
        <v>-1000.5999999999999</v>
      </c>
      <c r="E42" s="250">
        <v>9</v>
      </c>
      <c r="F42" s="251">
        <v>-576202</v>
      </c>
      <c r="G42" s="252">
        <f>D42+E42+F42-E41-F41</f>
        <v>-16550.599999999977</v>
      </c>
      <c r="H42" s="253">
        <v>700</v>
      </c>
      <c r="I42" s="254">
        <v>-1900</v>
      </c>
      <c r="J42" s="254">
        <v>-200</v>
      </c>
      <c r="K42" s="255">
        <f t="shared" si="8"/>
        <v>-1400</v>
      </c>
      <c r="L42" s="171">
        <v>27</v>
      </c>
      <c r="M42" s="153"/>
      <c r="N42" s="149">
        <f t="shared" si="6"/>
        <v>-17923.599999999977</v>
      </c>
      <c r="O42" s="67">
        <f t="shared" si="2"/>
        <v>1166959.8736111121</v>
      </c>
      <c r="P42" s="7">
        <f t="shared" si="4"/>
        <v>42010555.45000004</v>
      </c>
      <c r="Q42" s="164">
        <f>Q41+N42+3</f>
        <v>1346056.35</v>
      </c>
      <c r="R42" s="29">
        <f t="shared" si="3"/>
        <v>1009.7468830542668</v>
      </c>
      <c r="S42" s="5">
        <f>SUM($Q$7:$Q42)/T42</f>
        <v>1333340.4666666677</v>
      </c>
      <c r="T42" s="18">
        <v>36</v>
      </c>
      <c r="U42" s="138"/>
      <c r="V42" s="131"/>
      <c r="W42" s="105">
        <v>-1227593</v>
      </c>
      <c r="X42" s="167"/>
      <c r="Y42" s="156">
        <f t="shared" si="10"/>
        <v>-1227593</v>
      </c>
      <c r="Z42" s="217"/>
      <c r="AD42" s="1"/>
      <c r="AE42" s="1"/>
    </row>
    <row r="43" spans="2:31">
      <c r="B43" s="116">
        <v>43713</v>
      </c>
      <c r="C43" s="14" t="str">
        <f t="shared" si="0"/>
        <v/>
      </c>
      <c r="D43" s="250"/>
      <c r="E43" s="250">
        <v>17</v>
      </c>
      <c r="F43" s="251">
        <v>-574104</v>
      </c>
      <c r="G43" s="252">
        <f>D43+E43+F43-E42-F42</f>
        <v>2106</v>
      </c>
      <c r="H43" s="253">
        <v>700</v>
      </c>
      <c r="I43" s="254">
        <v>-5800</v>
      </c>
      <c r="J43" s="254">
        <v>-200</v>
      </c>
      <c r="K43" s="255">
        <f t="shared" si="8"/>
        <v>-5300</v>
      </c>
      <c r="L43" s="171">
        <v>14</v>
      </c>
      <c r="M43" s="153"/>
      <c r="N43" s="149">
        <f t="shared" si="6"/>
        <v>-3180</v>
      </c>
      <c r="O43" s="67">
        <f t="shared" si="2"/>
        <v>1168145.5351351362</v>
      </c>
      <c r="P43" s="7">
        <f t="shared" si="4"/>
        <v>43221384.800000042</v>
      </c>
      <c r="Q43" s="164">
        <f>Q42+N43</f>
        <v>1342876.35</v>
      </c>
      <c r="R43" s="29">
        <f t="shared" si="3"/>
        <v>1009.942060965599</v>
      </c>
      <c r="S43" s="5">
        <f>SUM($Q$7:$Q43)/T43</f>
        <v>1333598.1932432444</v>
      </c>
      <c r="T43" s="18">
        <v>37</v>
      </c>
      <c r="U43" s="138"/>
      <c r="V43" s="131"/>
      <c r="W43" s="105">
        <v>-1222309</v>
      </c>
      <c r="X43" s="167"/>
      <c r="Y43" s="156">
        <f>Y42-K43-L43-2</f>
        <v>-1222309</v>
      </c>
      <c r="Z43" s="217"/>
      <c r="AD43" s="1"/>
      <c r="AE43" s="1"/>
    </row>
    <row r="44" spans="2:31">
      <c r="B44" s="116">
        <v>43714</v>
      </c>
      <c r="C44" s="14" t="str">
        <f t="shared" si="0"/>
        <v/>
      </c>
      <c r="D44" s="250"/>
      <c r="E44" s="250">
        <v>19</v>
      </c>
      <c r="F44" s="251">
        <v>-581229</v>
      </c>
      <c r="G44" s="252">
        <f>D44+E44+F44-E43-F43</f>
        <v>-7123</v>
      </c>
      <c r="H44" s="253">
        <v>700</v>
      </c>
      <c r="I44" s="254">
        <v>-500</v>
      </c>
      <c r="J44" s="254">
        <v>-300</v>
      </c>
      <c r="K44" s="255">
        <f t="shared" si="8"/>
        <v>-100</v>
      </c>
      <c r="L44" s="171">
        <v>-33</v>
      </c>
      <c r="M44" s="153"/>
      <c r="N44" s="149">
        <f t="shared" si="6"/>
        <v>-7256</v>
      </c>
      <c r="O44" s="67">
        <f t="shared" si="2"/>
        <v>1169077.7934210538</v>
      </c>
      <c r="P44" s="7">
        <f t="shared" si="4"/>
        <v>44424956.150000043</v>
      </c>
      <c r="Q44" s="164">
        <f>Q43+N44-2</f>
        <v>1335618.3500000001</v>
      </c>
      <c r="R44" s="29">
        <f t="shared" si="3"/>
        <v>1009.9823208881377</v>
      </c>
      <c r="S44" s="5">
        <f>SUM($Q$7:$Q44)/T44</f>
        <v>1333651.3552631591</v>
      </c>
      <c r="T44" s="18">
        <v>38</v>
      </c>
      <c r="U44" s="138"/>
      <c r="V44" s="131"/>
      <c r="W44" s="105">
        <v>-1222175</v>
      </c>
      <c r="X44" s="167"/>
      <c r="Y44" s="156">
        <f>Y43-K44-L44+1</f>
        <v>-1222175</v>
      </c>
      <c r="Z44" s="217"/>
      <c r="AD44" s="1"/>
      <c r="AE44" s="1"/>
    </row>
    <row r="45" spans="2:31">
      <c r="B45" s="116">
        <v>43715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1169962.2435897447</v>
      </c>
      <c r="P45" s="7">
        <f t="shared" si="4"/>
        <v>45628527.500000045</v>
      </c>
      <c r="Q45" s="164">
        <f>Q44+N45</f>
        <v>1335618.3500000001</v>
      </c>
      <c r="R45" s="29">
        <f t="shared" si="3"/>
        <v>1010.0205161992641</v>
      </c>
      <c r="S45" s="5">
        <f>SUM($Q$7:$Q45)/T45</f>
        <v>1333701.7910256423</v>
      </c>
      <c r="T45" s="18">
        <v>39</v>
      </c>
      <c r="U45" s="138"/>
      <c r="V45" s="131"/>
      <c r="W45" s="105">
        <v>-1222175</v>
      </c>
      <c r="X45" s="167"/>
      <c r="Y45" s="156">
        <f>Y44-K45-L45</f>
        <v>-1222175</v>
      </c>
      <c r="Z45" s="217"/>
      <c r="AD45" s="1"/>
      <c r="AE45" s="1"/>
    </row>
    <row r="46" spans="2:31">
      <c r="B46" s="116">
        <v>43716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1170802.4712500011</v>
      </c>
      <c r="P46" s="7">
        <f t="shared" si="4"/>
        <v>46832098.850000046</v>
      </c>
      <c r="Q46" s="164">
        <f>Q45+N46</f>
        <v>1335618.3500000001</v>
      </c>
      <c r="R46" s="29">
        <f t="shared" si="3"/>
        <v>1010.0530152142808</v>
      </c>
      <c r="S46" s="5">
        <f>SUM($Q$7:$Q46)/T46-5</f>
        <v>1333744.7050000012</v>
      </c>
      <c r="T46" s="18">
        <v>40</v>
      </c>
      <c r="U46" s="138"/>
      <c r="V46" s="131"/>
      <c r="W46" s="105">
        <v>-1222175</v>
      </c>
      <c r="X46" s="167"/>
      <c r="Y46" s="156">
        <f>Y45-K46-L46</f>
        <v>-1222175</v>
      </c>
      <c r="Z46" s="217"/>
      <c r="AD46" s="1"/>
      <c r="AE46" s="1"/>
    </row>
    <row r="47" spans="2:31">
      <c r="B47" s="116">
        <v>43717</v>
      </c>
      <c r="C47" s="14" t="str">
        <f t="shared" si="0"/>
        <v/>
      </c>
      <c r="D47" s="250"/>
      <c r="E47" s="250">
        <v>21</v>
      </c>
      <c r="F47" s="251">
        <v>-591555</v>
      </c>
      <c r="G47" s="252">
        <f>D47+E47+F47-E44-F44</f>
        <v>-10324</v>
      </c>
      <c r="H47" s="253">
        <v>500</v>
      </c>
      <c r="I47" s="254">
        <v>-6200</v>
      </c>
      <c r="J47" s="254">
        <v>200</v>
      </c>
      <c r="K47" s="255">
        <f t="shared" si="8"/>
        <v>-5500</v>
      </c>
      <c r="L47" s="171">
        <v>22</v>
      </c>
      <c r="M47" s="153"/>
      <c r="N47" s="149">
        <f t="shared" si="6"/>
        <v>-15802</v>
      </c>
      <c r="O47" s="67">
        <f t="shared" si="2"/>
        <v>1171216.2975609768</v>
      </c>
      <c r="P47" s="7">
        <f t="shared" si="4"/>
        <v>48019868.200000048</v>
      </c>
      <c r="Q47" s="164">
        <f>Q46+N47</f>
        <v>1319816.3500000001</v>
      </c>
      <c r="R47" s="29">
        <f t="shared" si="3"/>
        <v>1009.7994404061978</v>
      </c>
      <c r="S47" s="5">
        <f>SUM($Q$7:$Q47)/T47</f>
        <v>1333409.867073172</v>
      </c>
      <c r="T47" s="18">
        <v>41</v>
      </c>
      <c r="U47" s="138">
        <f>B47</f>
        <v>43717</v>
      </c>
      <c r="V47" s="131" t="s">
        <v>285</v>
      </c>
      <c r="W47" s="105">
        <v>-1216497</v>
      </c>
      <c r="X47" s="167">
        <f>AVERAGE(W47:W69)</f>
        <v>-1197049.7777777778</v>
      </c>
      <c r="Y47" s="156">
        <f>Y46-K47-L47</f>
        <v>-1216697</v>
      </c>
      <c r="Z47" s="217">
        <f>AVERAGE(Y47:Y55)</f>
        <v>-1197516.3333333333</v>
      </c>
      <c r="AD47" s="1"/>
      <c r="AE47" s="1"/>
    </row>
    <row r="48" spans="2:31">
      <c r="B48" s="116">
        <v>43718</v>
      </c>
      <c r="C48" s="14" t="str">
        <f t="shared" si="0"/>
        <v/>
      </c>
      <c r="D48" s="250"/>
      <c r="E48" s="250">
        <v>23</v>
      </c>
      <c r="F48" s="251">
        <v>-581448</v>
      </c>
      <c r="G48" s="252">
        <f>D48+E48+F48-E47-F47</f>
        <v>10109</v>
      </c>
      <c r="H48" s="253">
        <v>500</v>
      </c>
      <c r="I48" s="254">
        <v>-7100</v>
      </c>
      <c r="J48" s="254">
        <v>200</v>
      </c>
      <c r="K48" s="255">
        <f t="shared" si="8"/>
        <v>-6400</v>
      </c>
      <c r="L48" s="171">
        <v>17</v>
      </c>
      <c r="M48" s="153"/>
      <c r="N48" s="149">
        <f t="shared" si="6"/>
        <v>3726</v>
      </c>
      <c r="O48" s="67">
        <f t="shared" si="2"/>
        <v>1171699.1559523821</v>
      </c>
      <c r="P48" s="7">
        <f t="shared" si="4"/>
        <v>49211364.550000049</v>
      </c>
      <c r="Q48" s="164">
        <f>Q47+N48+1</f>
        <v>1323543.3500000001</v>
      </c>
      <c r="R48" s="29">
        <f t="shared" si="3"/>
        <v>1009.6215362711771</v>
      </c>
      <c r="S48" s="5">
        <f>SUM($Q$7:$Q48)/T48</f>
        <v>1333174.9500000011</v>
      </c>
      <c r="T48" s="18">
        <v>42</v>
      </c>
      <c r="U48" s="138">
        <f>B47+8</f>
        <v>43725</v>
      </c>
      <c r="V48" s="131">
        <v>1401.3</v>
      </c>
      <c r="W48" s="105">
        <v>-1209915</v>
      </c>
      <c r="X48" s="167"/>
      <c r="Y48" s="156">
        <f>Y47-K48-L48-1</f>
        <v>-1210315</v>
      </c>
      <c r="Z48" s="217"/>
      <c r="AD48" s="1"/>
      <c r="AE48" s="1"/>
    </row>
    <row r="49" spans="2:31">
      <c r="B49" s="116">
        <v>43719</v>
      </c>
      <c r="C49" s="14" t="str">
        <f t="shared" si="0"/>
        <v/>
      </c>
      <c r="D49" s="250">
        <f>-2347+2317</f>
        <v>-30</v>
      </c>
      <c r="E49" s="250">
        <v>1</v>
      </c>
      <c r="F49" s="251">
        <v>-582268</v>
      </c>
      <c r="G49" s="252">
        <f>D49+E49+F49-E48-F48</f>
        <v>-872</v>
      </c>
      <c r="H49" s="253">
        <v>400</v>
      </c>
      <c r="I49" s="254">
        <v>-10100</v>
      </c>
      <c r="J49" s="254">
        <v>200</v>
      </c>
      <c r="K49" s="255">
        <f t="shared" si="8"/>
        <v>-9500</v>
      </c>
      <c r="L49" s="171">
        <v>11</v>
      </c>
      <c r="M49" s="153"/>
      <c r="N49" s="149">
        <f t="shared" si="6"/>
        <v>-10361</v>
      </c>
      <c r="O49" s="67">
        <f t="shared" si="2"/>
        <v>1171918.6023255826</v>
      </c>
      <c r="P49" s="7">
        <f t="shared" si="4"/>
        <v>50392499.900000051</v>
      </c>
      <c r="Q49" s="164">
        <f>Q48+N49</f>
        <v>1313182.3500000001</v>
      </c>
      <c r="R49" s="29">
        <f t="shared" si="3"/>
        <v>1009.2694311979482</v>
      </c>
      <c r="S49" s="5">
        <f>SUM($Q$7:$Q49)/T49</f>
        <v>1332710.0058139546</v>
      </c>
      <c r="T49" s="18">
        <v>43</v>
      </c>
      <c r="U49" s="138"/>
      <c r="V49" s="131"/>
      <c r="W49" s="105">
        <v>-1200226</v>
      </c>
      <c r="X49" s="167"/>
      <c r="Y49" s="156">
        <f>Y48-K49-L49</f>
        <v>-1200826</v>
      </c>
      <c r="Z49" s="217"/>
      <c r="AD49" s="1"/>
      <c r="AE49" s="1"/>
    </row>
    <row r="50" spans="2:31">
      <c r="B50" s="116">
        <v>43720</v>
      </c>
      <c r="C50" s="14" t="str">
        <f t="shared" si="0"/>
        <v/>
      </c>
      <c r="D50" s="250"/>
      <c r="E50" s="250">
        <v>50</v>
      </c>
      <c r="F50" s="251">
        <v>-577573</v>
      </c>
      <c r="G50" s="252">
        <f>D50+E50+F50-E49-F49</f>
        <v>4744</v>
      </c>
      <c r="H50" s="253">
        <v>500</v>
      </c>
      <c r="I50" s="254">
        <v>-3400</v>
      </c>
      <c r="J50" s="254">
        <v>200</v>
      </c>
      <c r="K50" s="255">
        <f t="shared" si="8"/>
        <v>-2700</v>
      </c>
      <c r="L50" s="171">
        <v>-44</v>
      </c>
      <c r="M50" s="153"/>
      <c r="N50" s="149">
        <f t="shared" si="6"/>
        <v>2000</v>
      </c>
      <c r="O50" s="67">
        <f t="shared" si="2"/>
        <v>1172173.528409092</v>
      </c>
      <c r="P50" s="7">
        <f t="shared" si="4"/>
        <v>51575635.250000052</v>
      </c>
      <c r="Q50" s="164">
        <f>Q49+N50</f>
        <v>1315182.3500000001</v>
      </c>
      <c r="R50" s="29">
        <f t="shared" si="3"/>
        <v>1008.9677539058073</v>
      </c>
      <c r="S50" s="5">
        <f>SUM($Q$7:$Q50)/T50</f>
        <v>1332311.6500000013</v>
      </c>
      <c r="T50" s="18">
        <v>44</v>
      </c>
      <c r="U50" s="138"/>
      <c r="V50" s="131"/>
      <c r="W50" s="105">
        <v>-1197282</v>
      </c>
      <c r="X50" s="167"/>
      <c r="Y50" s="156">
        <f>Y49-K50-L50</f>
        <v>-1198082</v>
      </c>
      <c r="Z50" s="217"/>
      <c r="AD50" s="1"/>
      <c r="AE50" s="1"/>
    </row>
    <row r="51" spans="2:31">
      <c r="B51" s="116">
        <v>43721</v>
      </c>
      <c r="C51" s="14" t="str">
        <f t="shared" si="0"/>
        <v/>
      </c>
      <c r="D51" s="250"/>
      <c r="E51" s="250">
        <v>50</v>
      </c>
      <c r="F51" s="251">
        <v>-556987</v>
      </c>
      <c r="G51" s="252">
        <f>D51+E51+F51-E50-F50</f>
        <v>20586</v>
      </c>
      <c r="H51" s="253">
        <v>600</v>
      </c>
      <c r="I51" s="254">
        <v>2000</v>
      </c>
      <c r="J51" s="254">
        <v>100</v>
      </c>
      <c r="K51" s="255">
        <f t="shared" si="8"/>
        <v>2700</v>
      </c>
      <c r="L51" s="171">
        <v>26</v>
      </c>
      <c r="M51" s="153"/>
      <c r="N51" s="149">
        <f t="shared" si="6"/>
        <v>23312</v>
      </c>
      <c r="O51" s="67">
        <f t="shared" si="2"/>
        <v>1172935.1466666679</v>
      </c>
      <c r="P51" s="7">
        <f t="shared" si="4"/>
        <v>52782081.600000054</v>
      </c>
      <c r="Q51" s="164">
        <f t="shared" ref="Q51" si="11">Q50+N51-1</f>
        <v>1338493.3500000001</v>
      </c>
      <c r="R51" s="29">
        <f t="shared" si="3"/>
        <v>1009.0717858876858</v>
      </c>
      <c r="S51" s="5">
        <f>SUM($Q$7:$Q51)/T51</f>
        <v>1332449.0211111123</v>
      </c>
      <c r="T51" s="18">
        <v>45</v>
      </c>
      <c r="U51" s="138"/>
      <c r="V51" s="131"/>
      <c r="W51" s="105">
        <v>-1200008</v>
      </c>
      <c r="X51" s="167"/>
      <c r="Y51" s="156">
        <f>Y50-K51-L51</f>
        <v>-1200808</v>
      </c>
      <c r="Z51" s="217"/>
      <c r="AD51" s="1"/>
      <c r="AE51" s="1"/>
    </row>
    <row r="52" spans="2:31">
      <c r="B52" s="116">
        <v>43722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6"/>
        <v>0</v>
      </c>
      <c r="O52" s="67">
        <f t="shared" si="2"/>
        <v>1173663.6510869577</v>
      </c>
      <c r="P52" s="7">
        <f t="shared" si="4"/>
        <v>53988527.950000055</v>
      </c>
      <c r="Q52" s="164">
        <f>Q51+N52</f>
        <v>1338493.3500000001</v>
      </c>
      <c r="R52" s="29">
        <f t="shared" si="3"/>
        <v>1009.1712947399174</v>
      </c>
      <c r="S52" s="5">
        <f>SUM($Q$7:$Q52)/T52</f>
        <v>1332580.4195652187</v>
      </c>
      <c r="T52" s="18">
        <v>46</v>
      </c>
      <c r="U52" s="138"/>
      <c r="V52" s="131"/>
      <c r="W52" s="105">
        <v>-1200008</v>
      </c>
      <c r="X52" s="167"/>
      <c r="Y52" s="156">
        <f>Y51-K52-L52</f>
        <v>-1200808</v>
      </c>
      <c r="Z52" s="217"/>
      <c r="AD52" s="1"/>
      <c r="AE52" s="1"/>
    </row>
    <row r="53" spans="2:31">
      <c r="B53" s="116">
        <v>43723</v>
      </c>
      <c r="C53" s="14" t="str">
        <f t="shared" si="0"/>
        <v>F</v>
      </c>
      <c r="D53" s="250"/>
      <c r="E53" s="250"/>
      <c r="F53" s="251"/>
      <c r="G53" s="252"/>
      <c r="H53" s="253"/>
      <c r="I53" s="254"/>
      <c r="J53" s="254"/>
      <c r="K53" s="255"/>
      <c r="L53" s="171"/>
      <c r="M53" s="153"/>
      <c r="N53" s="149">
        <f t="shared" si="6"/>
        <v>0</v>
      </c>
      <c r="O53" s="67">
        <f t="shared" si="2"/>
        <v>1174361.1553191501</v>
      </c>
      <c r="P53" s="7">
        <f t="shared" si="4"/>
        <v>55194974.300000057</v>
      </c>
      <c r="Q53" s="164">
        <f>Q52+N53</f>
        <v>1338493.3500000001</v>
      </c>
      <c r="R53" s="29">
        <f t="shared" si="3"/>
        <v>1009.2635399484623</v>
      </c>
      <c r="S53" s="5">
        <f>SUM($Q$7:$Q53)/T53-4</f>
        <v>1332702.2265957459</v>
      </c>
      <c r="T53" s="18">
        <v>47</v>
      </c>
      <c r="U53" s="138"/>
      <c r="V53" s="131"/>
      <c r="W53" s="105">
        <v>-1200008</v>
      </c>
      <c r="X53" s="167"/>
      <c r="Y53" s="156">
        <f>Y52-K53-L53</f>
        <v>-1200808</v>
      </c>
      <c r="Z53" s="217"/>
      <c r="AD53" s="1"/>
      <c r="AE53" s="1"/>
    </row>
    <row r="54" spans="2:31">
      <c r="B54" s="116">
        <v>43724</v>
      </c>
      <c r="C54" s="14" t="str">
        <f t="shared" si="0"/>
        <v/>
      </c>
      <c r="D54" s="250"/>
      <c r="E54" s="250">
        <v>13</v>
      </c>
      <c r="F54" s="251">
        <v>-556968</v>
      </c>
      <c r="G54" s="252">
        <f>D54+E54+F54-E51-F51</f>
        <v>-18</v>
      </c>
      <c r="H54" s="253">
        <v>14000</v>
      </c>
      <c r="I54" s="254">
        <v>-41700</v>
      </c>
      <c r="J54" s="254">
        <v>200</v>
      </c>
      <c r="K54" s="255">
        <f t="shared" si="8"/>
        <v>-27500</v>
      </c>
      <c r="L54" s="171">
        <v>22</v>
      </c>
      <c r="M54" s="153"/>
      <c r="N54" s="149">
        <f t="shared" si="6"/>
        <v>-27496</v>
      </c>
      <c r="O54" s="67">
        <f t="shared" si="2"/>
        <v>1174456.763541668</v>
      </c>
      <c r="P54" s="7">
        <f t="shared" si="4"/>
        <v>56373924.650000058</v>
      </c>
      <c r="Q54" s="164">
        <f>Q53+N54</f>
        <v>1310997.3500000001</v>
      </c>
      <c r="R54" s="29">
        <f t="shared" si="3"/>
        <v>1008.9240636541039</v>
      </c>
      <c r="S54" s="5">
        <f>SUM($Q$7:$Q54)/T54</f>
        <v>1332253.9583333347</v>
      </c>
      <c r="T54" s="18">
        <v>48</v>
      </c>
      <c r="U54" s="138"/>
      <c r="V54" s="131"/>
      <c r="W54" s="105">
        <v>-1173130</v>
      </c>
      <c r="X54" s="167"/>
      <c r="Y54" s="156">
        <f t="shared" si="10"/>
        <v>-1173329</v>
      </c>
      <c r="Z54" s="217"/>
      <c r="AD54" s="1"/>
      <c r="AE54" s="1"/>
    </row>
    <row r="55" spans="2:31">
      <c r="B55" s="116">
        <v>43725</v>
      </c>
      <c r="C55" s="257" t="str">
        <f t="shared" si="0"/>
        <v/>
      </c>
      <c r="D55" s="258"/>
      <c r="E55" s="258">
        <v>58</v>
      </c>
      <c r="F55" s="259">
        <v>-569466</v>
      </c>
      <c r="G55" s="260">
        <f>D55+E55+F55-E54-F54</f>
        <v>-12453</v>
      </c>
      <c r="H55" s="261">
        <v>700</v>
      </c>
      <c r="I55" s="262">
        <v>1700</v>
      </c>
      <c r="J55" s="262">
        <v>200</v>
      </c>
      <c r="K55" s="263">
        <f t="shared" si="8"/>
        <v>2600</v>
      </c>
      <c r="L55" s="171">
        <v>45</v>
      </c>
      <c r="M55" s="153"/>
      <c r="N55" s="149">
        <f t="shared" si="6"/>
        <v>-9808</v>
      </c>
      <c r="O55" s="67">
        <f t="shared" si="2"/>
        <v>1174348.3061224502</v>
      </c>
      <c r="P55" s="7">
        <f t="shared" si="4"/>
        <v>57543067.00000006</v>
      </c>
      <c r="Q55" s="164">
        <f>Q54+N55</f>
        <v>1301189.3500000001</v>
      </c>
      <c r="R55" s="29">
        <f t="shared" si="3"/>
        <v>1008.4416811701099</v>
      </c>
      <c r="S55" s="5">
        <f>SUM($Q$7:$Q55)/T55-3</f>
        <v>1331616.986734695</v>
      </c>
      <c r="T55" s="18">
        <v>49</v>
      </c>
      <c r="U55" s="264"/>
      <c r="V55" s="265"/>
      <c r="W55" s="266">
        <v>-1176374</v>
      </c>
      <c r="X55" s="267"/>
      <c r="Y55" s="269">
        <f>Y54-K55-L55</f>
        <v>-1175974</v>
      </c>
      <c r="Z55" s="268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+'July 2019'!Q55</f>
        <v>1311154.3500000001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+'July 2019'!E55</f>
        <v>43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+'July 2019'!F55</f>
        <v>-553143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+'July 2019'!Y55</f>
        <v>-1168704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B1:IU65525"/>
  <sheetViews>
    <sheetView zoomScaleNormal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133215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43726</v>
      </c>
      <c r="C7" s="14" t="str">
        <f t="shared" ref="C7:C48" si="0">IF(OR(WEEKDAY(B7)=1,WEEKDAY(B7)=7),"F","")</f>
        <v/>
      </c>
      <c r="D7" s="87">
        <f>-2317+2021</f>
        <v>-296</v>
      </c>
      <c r="E7" s="128">
        <v>5</v>
      </c>
      <c r="F7" s="162">
        <v>-455949</v>
      </c>
      <c r="G7" s="26">
        <f>D7+E7+F7-G53-G54</f>
        <v>113168</v>
      </c>
      <c r="H7" s="132">
        <v>-4300</v>
      </c>
      <c r="I7" s="63">
        <v>1600</v>
      </c>
      <c r="J7" s="63">
        <v>300</v>
      </c>
      <c r="K7" s="170">
        <f t="shared" ref="K7:K9" si="1">+H7+I7+J7</f>
        <v>-2400</v>
      </c>
      <c r="L7" s="169">
        <v>-32</v>
      </c>
      <c r="M7" s="153"/>
      <c r="N7" s="149">
        <f>L7+K7+G7+M7</f>
        <v>110736</v>
      </c>
      <c r="O7" s="67">
        <f t="shared" ref="O7:O48" si="2">P7/T7</f>
        <v>1279111.3500000001</v>
      </c>
      <c r="P7" s="163">
        <f>(+$Q7-$Q$3)</f>
        <v>1279111.3500000001</v>
      </c>
      <c r="Q7" s="164">
        <f>G52+N7+1+400</f>
        <v>1412326.35</v>
      </c>
      <c r="R7" s="29">
        <f t="shared" ref="R7:R48" si="3">$S7/$Q$3*100</f>
        <v>1060.1856772885935</v>
      </c>
      <c r="S7" s="165">
        <f>$Q7</f>
        <v>1412326.35</v>
      </c>
      <c r="T7" s="166">
        <v>1</v>
      </c>
      <c r="U7" s="138">
        <f>B7</f>
        <v>43726</v>
      </c>
      <c r="V7" s="131" t="s">
        <v>286</v>
      </c>
      <c r="W7" s="105">
        <v>-1173943</v>
      </c>
      <c r="X7" s="167">
        <f>AVERAGE(W7:W15)</f>
        <v>-1161864.888888889</v>
      </c>
      <c r="Y7" s="156">
        <f>-L7-K7+'Sept 2019 '!Y55-1-400</f>
        <v>-1173943</v>
      </c>
      <c r="Z7" s="217">
        <f>AVERAGE(Y7:Y15)</f>
        <v>-1161864.888888889</v>
      </c>
      <c r="AA7" s="92"/>
    </row>
    <row r="8" spans="2:255">
      <c r="B8" s="116">
        <v>43727</v>
      </c>
      <c r="C8" s="14"/>
      <c r="D8" s="128"/>
      <c r="E8" s="128">
        <v>0</v>
      </c>
      <c r="F8" s="162">
        <v>-460021</v>
      </c>
      <c r="G8" s="26">
        <f>D8+E8+F8-E7-F7</f>
        <v>-4077</v>
      </c>
      <c r="H8" s="132">
        <v>-13500</v>
      </c>
      <c r="I8" s="63">
        <v>2100</v>
      </c>
      <c r="J8" s="63">
        <v>300</v>
      </c>
      <c r="K8" s="170">
        <f t="shared" si="1"/>
        <v>-11100</v>
      </c>
      <c r="L8" s="171">
        <v>-12</v>
      </c>
      <c r="M8" s="153"/>
      <c r="N8" s="149">
        <f>L8+K8+G8+M8</f>
        <v>-15189</v>
      </c>
      <c r="O8" s="67">
        <f t="shared" si="2"/>
        <v>631961.17500000005</v>
      </c>
      <c r="P8" s="163">
        <f>(IF($Q8&lt;0,-$Q$3+P6,($Q8-$Q$3)+P6))</f>
        <v>1263922.3500000001</v>
      </c>
      <c r="Q8" s="164">
        <f>Q7+N8</f>
        <v>1397137.35</v>
      </c>
      <c r="R8" s="29">
        <f t="shared" si="3"/>
        <v>1054.4847427091545</v>
      </c>
      <c r="S8" s="165">
        <f>SUM($Q$7:$Q8)/T8</f>
        <v>1404731.85</v>
      </c>
      <c r="T8" s="166">
        <v>2</v>
      </c>
      <c r="U8" s="138">
        <f>B7+6</f>
        <v>43732</v>
      </c>
      <c r="V8" s="131">
        <v>1475.5</v>
      </c>
      <c r="W8" s="105">
        <v>-1162831</v>
      </c>
      <c r="X8" s="167"/>
      <c r="Y8" s="156">
        <f>Y7-K8-L8</f>
        <v>-1162831</v>
      </c>
      <c r="Z8" s="217"/>
      <c r="AA8" s="92"/>
    </row>
    <row r="9" spans="2:255">
      <c r="B9" s="116">
        <v>43728</v>
      </c>
      <c r="C9" s="14" t="str">
        <f t="shared" si="0"/>
        <v/>
      </c>
      <c r="D9" s="87"/>
      <c r="E9" s="87">
        <v>0</v>
      </c>
      <c r="F9" s="23">
        <v>-464441</v>
      </c>
      <c r="G9" s="26">
        <f>D9+E9+F9-E8-F8</f>
        <v>-4420</v>
      </c>
      <c r="H9" s="132">
        <v>100</v>
      </c>
      <c r="I9" s="63">
        <v>1800</v>
      </c>
      <c r="J9" s="63">
        <v>300</v>
      </c>
      <c r="K9" s="170">
        <f t="shared" si="1"/>
        <v>2200</v>
      </c>
      <c r="L9" s="171">
        <v>-10</v>
      </c>
      <c r="M9" s="153"/>
      <c r="N9" s="149">
        <f>L9+K9+G9+M9</f>
        <v>-2230</v>
      </c>
      <c r="O9" s="67">
        <f t="shared" si="2"/>
        <v>846934.2333333334</v>
      </c>
      <c r="P9" s="7">
        <f>(IF($Q9&lt;0,-$Q$3+P7,($Q9-$Q$3)+P7))</f>
        <v>2540802.7000000002</v>
      </c>
      <c r="Q9" s="164">
        <f>Q8+N9-1</f>
        <v>1394906.35</v>
      </c>
      <c r="R9" s="29">
        <f t="shared" si="3"/>
        <v>1052.0269364060607</v>
      </c>
      <c r="S9" s="5">
        <f>SUM($Q$7:$Q9)/T9+1</f>
        <v>1401457.6833333336</v>
      </c>
      <c r="T9" s="17">
        <v>3</v>
      </c>
      <c r="U9" s="4"/>
      <c r="V9" s="131"/>
      <c r="W9" s="105">
        <v>-1165020</v>
      </c>
      <c r="X9" s="167"/>
      <c r="Y9" s="156">
        <f>Y8-K9-L9+1</f>
        <v>-1165020</v>
      </c>
      <c r="Z9" s="217"/>
      <c r="AA9" s="92"/>
    </row>
    <row r="10" spans="2:255">
      <c r="B10" s="116">
        <v>43729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950623.51250000007</v>
      </c>
      <c r="P10" s="7">
        <f t="shared" ref="P10:P48" si="4">(IF($Q10&lt;0,-$Q$3+P9,($Q10-$Q$3)+P9))</f>
        <v>3802494.0500000003</v>
      </c>
      <c r="Q10" s="164">
        <f t="shared" ref="Q10:Q32" si="5">Q9+N10</f>
        <v>1394906.35</v>
      </c>
      <c r="R10" s="29">
        <f t="shared" si="3"/>
        <v>1050.7961565889727</v>
      </c>
      <c r="S10" s="5">
        <f>SUM($Q$7:$Q10)/T10-1</f>
        <v>1399818.1</v>
      </c>
      <c r="T10" s="17">
        <v>4</v>
      </c>
      <c r="U10" s="27"/>
      <c r="V10" s="133"/>
      <c r="W10" s="105">
        <v>-1165020</v>
      </c>
      <c r="X10" s="167"/>
      <c r="Y10" s="156">
        <f>Y9-K10-L10</f>
        <v>-1165020</v>
      </c>
      <c r="Z10" s="217"/>
      <c r="AA10" s="92"/>
    </row>
    <row r="11" spans="2:255">
      <c r="B11" s="116">
        <v>43730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1012837.0800000001</v>
      </c>
      <c r="P11" s="7">
        <f t="shared" si="4"/>
        <v>5064185.4000000004</v>
      </c>
      <c r="Q11" s="164">
        <f t="shared" si="5"/>
        <v>1394906.35</v>
      </c>
      <c r="R11" s="29">
        <f t="shared" si="3"/>
        <v>1050.059340164396</v>
      </c>
      <c r="S11" s="5">
        <f>SUM($Q$7:$Q11)/T11</f>
        <v>1398836.55</v>
      </c>
      <c r="T11" s="17">
        <v>5</v>
      </c>
      <c r="U11" s="27"/>
      <c r="V11" s="134"/>
      <c r="W11" s="105">
        <v>-1165020</v>
      </c>
      <c r="X11" s="167"/>
      <c r="Y11" s="156">
        <f t="shared" ref="Y11:Y39" si="7">Y10-K11-L11</f>
        <v>-1165020</v>
      </c>
      <c r="Z11" s="217"/>
      <c r="AA11" s="92"/>
    </row>
    <row r="12" spans="2:255">
      <c r="B12" s="116">
        <v>43731</v>
      </c>
      <c r="C12" s="14" t="str">
        <f t="shared" si="0"/>
        <v/>
      </c>
      <c r="D12" s="87"/>
      <c r="E12" s="161">
        <v>15</v>
      </c>
      <c r="F12" s="23">
        <v>-452465</v>
      </c>
      <c r="G12" s="26">
        <f>D12+E12+F12-E9-F9</f>
        <v>11991</v>
      </c>
      <c r="H12" s="132">
        <v>-800</v>
      </c>
      <c r="I12" s="63">
        <v>-12000</v>
      </c>
      <c r="J12" s="63">
        <v>-500</v>
      </c>
      <c r="K12" s="170">
        <f t="shared" ref="K12:K48" si="8">+H12+I12+J12</f>
        <v>-13300</v>
      </c>
      <c r="L12" s="171">
        <v>25</v>
      </c>
      <c r="M12" s="153"/>
      <c r="N12" s="149">
        <f t="shared" si="6"/>
        <v>-1284</v>
      </c>
      <c r="O12" s="67">
        <f t="shared" si="2"/>
        <v>1054098.625</v>
      </c>
      <c r="P12" s="7">
        <f t="shared" si="4"/>
        <v>6324591.75</v>
      </c>
      <c r="Q12" s="164">
        <f>Q11+N12-1</f>
        <v>1393621.35</v>
      </c>
      <c r="R12" s="29">
        <f t="shared" si="3"/>
        <v>1049.4068610892166</v>
      </c>
      <c r="S12" s="5">
        <f>SUM($Q$7:$Q12)/T12</f>
        <v>1397967.3499999999</v>
      </c>
      <c r="T12" s="17">
        <v>6</v>
      </c>
      <c r="U12" s="138">
        <f>B12</f>
        <v>43731</v>
      </c>
      <c r="V12" s="131" t="s">
        <v>288</v>
      </c>
      <c r="W12" s="105">
        <v>-1151744</v>
      </c>
      <c r="X12" s="167">
        <f>AVERAGE(W12:W20)</f>
        <v>-1164620.2222222222</v>
      </c>
      <c r="Y12" s="156">
        <f>Y11-K12-L12+1</f>
        <v>-1151744</v>
      </c>
      <c r="Z12" s="217">
        <f>AVERAGE(Y12:Y20)</f>
        <v>-1164620.2222222222</v>
      </c>
      <c r="AA12" s="92"/>
    </row>
    <row r="13" spans="2:255">
      <c r="B13" s="116">
        <v>43732</v>
      </c>
      <c r="C13" s="14"/>
      <c r="D13" s="87"/>
      <c r="E13" s="87">
        <v>8</v>
      </c>
      <c r="F13" s="23">
        <v>-460849</v>
      </c>
      <c r="G13" s="26">
        <f>D13+E13+F13-E12-F12</f>
        <v>-8391</v>
      </c>
      <c r="H13" s="132">
        <v>200</v>
      </c>
      <c r="I13" s="63">
        <v>6600</v>
      </c>
      <c r="J13" s="63">
        <v>-500</v>
      </c>
      <c r="K13" s="170">
        <f t="shared" si="8"/>
        <v>6300</v>
      </c>
      <c r="L13" s="171">
        <v>46</v>
      </c>
      <c r="M13" s="153"/>
      <c r="N13" s="149">
        <f t="shared" si="6"/>
        <v>-2045</v>
      </c>
      <c r="O13" s="67">
        <f t="shared" si="2"/>
        <v>1083279.0142857141</v>
      </c>
      <c r="P13" s="7">
        <f>(IF($Q13&lt;0,-$Q$3+P12,($Q13-$Q$3)+P12))</f>
        <v>7582953.0999999996</v>
      </c>
      <c r="Q13" s="164">
        <f>Q12+N13</f>
        <v>1391576.35</v>
      </c>
      <c r="R13" s="29">
        <f t="shared" si="3"/>
        <v>1048.7215028337648</v>
      </c>
      <c r="S13" s="5">
        <f>SUM($Q$7:$Q13)/T13</f>
        <v>1397054.3499999999</v>
      </c>
      <c r="T13" s="17">
        <v>7</v>
      </c>
      <c r="U13" s="138">
        <f>B14+6</f>
        <v>43739</v>
      </c>
      <c r="V13" s="249">
        <v>1450.9</v>
      </c>
      <c r="W13" s="105">
        <v>-1158090</v>
      </c>
      <c r="X13" s="167"/>
      <c r="Y13" s="156">
        <f>Y12-K13-L13</f>
        <v>-1158090</v>
      </c>
      <c r="Z13" s="217"/>
      <c r="AA13" s="92"/>
      <c r="AB13" s="92"/>
    </row>
    <row r="14" spans="2:255">
      <c r="B14" s="116">
        <v>43733</v>
      </c>
      <c r="C14" s="14"/>
      <c r="D14" s="87">
        <f>-31828-2021+3396+2804</f>
        <v>-27649</v>
      </c>
      <c r="E14" s="87">
        <v>212</v>
      </c>
      <c r="F14" s="23">
        <v>-459532</v>
      </c>
      <c r="G14" s="26">
        <f>D14+E14+F14-E13-F13</f>
        <v>-26128</v>
      </c>
      <c r="H14" s="132">
        <v>700</v>
      </c>
      <c r="I14" s="63">
        <v>-800</v>
      </c>
      <c r="J14" s="63">
        <v>-600</v>
      </c>
      <c r="K14" s="170">
        <f t="shared" si="8"/>
        <v>-700</v>
      </c>
      <c r="L14" s="171">
        <v>7</v>
      </c>
      <c r="M14" s="154"/>
      <c r="N14" s="149">
        <f>L14+K14+G14+M14</f>
        <v>-26821</v>
      </c>
      <c r="O14" s="67">
        <f t="shared" si="2"/>
        <v>1101811.6812499999</v>
      </c>
      <c r="P14" s="7">
        <f t="shared" si="4"/>
        <v>8814493.4499999993</v>
      </c>
      <c r="Q14" s="164">
        <f>Q13+N14</f>
        <v>1364755.35</v>
      </c>
      <c r="R14" s="29">
        <f t="shared" si="3"/>
        <v>1045.6915324850804</v>
      </c>
      <c r="S14" s="5">
        <f>SUM($Q$7:$Q14)/T14+1</f>
        <v>1393017.9749999999</v>
      </c>
      <c r="T14" s="17">
        <v>8</v>
      </c>
      <c r="U14" s="4"/>
      <c r="V14" s="4"/>
      <c r="W14" s="105">
        <v>-1157396</v>
      </c>
      <c r="X14" s="167"/>
      <c r="Y14" s="156">
        <f>Y13-K14-L14+1</f>
        <v>-1157396</v>
      </c>
      <c r="Z14" s="217"/>
      <c r="AA14" s="92"/>
    </row>
    <row r="15" spans="2:255">
      <c r="B15" s="116">
        <v>43734</v>
      </c>
      <c r="C15" s="14" t="str">
        <f t="shared" si="0"/>
        <v/>
      </c>
      <c r="D15" s="87">
        <f>-966+848</f>
        <v>-118</v>
      </c>
      <c r="E15" s="87">
        <v>37</v>
      </c>
      <c r="F15" s="23">
        <v>-459269</v>
      </c>
      <c r="G15" s="26">
        <f>D15+E15+F15-E14-F14</f>
        <v>-30</v>
      </c>
      <c r="H15" s="132">
        <v>700</v>
      </c>
      <c r="I15" s="63">
        <v>200</v>
      </c>
      <c r="J15" s="63">
        <v>-600</v>
      </c>
      <c r="K15" s="170">
        <f t="shared" si="8"/>
        <v>300</v>
      </c>
      <c r="L15" s="172">
        <v>23</v>
      </c>
      <c r="M15" s="153"/>
      <c r="N15" s="149">
        <f>L15+K15+G15+M15</f>
        <v>293</v>
      </c>
      <c r="O15" s="67">
        <f t="shared" si="2"/>
        <v>1116258.5333333332</v>
      </c>
      <c r="P15" s="7">
        <f t="shared" si="4"/>
        <v>10046326.799999999</v>
      </c>
      <c r="Q15" s="164">
        <f>Q14+N15</f>
        <v>1365048.35</v>
      </c>
      <c r="R15" s="29">
        <f t="shared" si="3"/>
        <v>1043.3579927185376</v>
      </c>
      <c r="S15" s="5">
        <f>SUM($Q$7:$Q15)/T15</f>
        <v>1389909.3499999999</v>
      </c>
      <c r="T15" s="17">
        <v>9</v>
      </c>
      <c r="U15" s="4"/>
      <c r="V15" s="4"/>
      <c r="W15" s="105">
        <v>-1157720</v>
      </c>
      <c r="X15" s="167"/>
      <c r="Y15" s="156">
        <f>Y14-K15-L15-1</f>
        <v>-1157720</v>
      </c>
      <c r="Z15" s="217"/>
      <c r="AA15" s="92"/>
      <c r="AB15" s="92"/>
    </row>
    <row r="16" spans="2:255" s="69" customFormat="1">
      <c r="B16" s="116">
        <v>43735</v>
      </c>
      <c r="C16" s="14" t="str">
        <f t="shared" si="0"/>
        <v/>
      </c>
      <c r="D16" s="129"/>
      <c r="E16" s="87">
        <v>22</v>
      </c>
      <c r="F16" s="23">
        <v>-459474</v>
      </c>
      <c r="G16" s="26">
        <f>D16+E16+F16-E15-F15</f>
        <v>-220</v>
      </c>
      <c r="H16" s="132">
        <v>-1300</v>
      </c>
      <c r="I16" s="63">
        <v>6100</v>
      </c>
      <c r="J16" s="63">
        <v>-600</v>
      </c>
      <c r="K16" s="170">
        <f t="shared" si="8"/>
        <v>4200</v>
      </c>
      <c r="L16" s="172">
        <v>25</v>
      </c>
      <c r="M16" s="153"/>
      <c r="N16" s="152">
        <f>L16+K16+G16+M16</f>
        <v>4005</v>
      </c>
      <c r="O16" s="67">
        <f t="shared" si="2"/>
        <v>1128216.6149999998</v>
      </c>
      <c r="P16" s="70">
        <f t="shared" si="4"/>
        <v>11282166.149999999</v>
      </c>
      <c r="Q16" s="164">
        <f>Q15+N16+1</f>
        <v>1369054.35</v>
      </c>
      <c r="R16" s="71">
        <f t="shared" si="3"/>
        <v>1041.7924783245128</v>
      </c>
      <c r="S16" s="72">
        <f>SUM($Q$7:$Q16)/T16</f>
        <v>1387823.8499999999</v>
      </c>
      <c r="T16" s="73">
        <v>10</v>
      </c>
      <c r="U16" s="218"/>
      <c r="V16" s="133"/>
      <c r="W16" s="105">
        <v>-1161946</v>
      </c>
      <c r="X16" s="167"/>
      <c r="Y16" s="156">
        <f>Y15-K16-L16-1</f>
        <v>-1161946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43736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1138000.4999999998</v>
      </c>
      <c r="P17" s="7">
        <f t="shared" si="4"/>
        <v>12518005.499999998</v>
      </c>
      <c r="Q17" s="164">
        <f t="shared" si="5"/>
        <v>1369054.35</v>
      </c>
      <c r="R17" s="29">
        <f t="shared" si="3"/>
        <v>1040.5116029112198</v>
      </c>
      <c r="S17" s="5">
        <f>SUM($Q$7:$Q17)/T17</f>
        <v>1386117.5318181815</v>
      </c>
      <c r="T17" s="18">
        <v>11</v>
      </c>
      <c r="U17" s="27"/>
      <c r="V17" s="136"/>
      <c r="W17" s="105">
        <v>-1161946</v>
      </c>
      <c r="X17" s="167"/>
      <c r="Y17" s="156">
        <f t="shared" si="7"/>
        <v>-1161946</v>
      </c>
      <c r="Z17" s="217"/>
      <c r="AA17" s="92"/>
      <c r="AC17" s="92"/>
    </row>
    <row r="18" spans="2:31">
      <c r="B18" s="116">
        <v>43737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1146153.7374999998</v>
      </c>
      <c r="P18" s="7">
        <f t="shared" si="4"/>
        <v>13753844.849999998</v>
      </c>
      <c r="Q18" s="164">
        <f t="shared" si="5"/>
        <v>1369054.35</v>
      </c>
      <c r="R18" s="29">
        <f t="shared" si="3"/>
        <v>1039.4434560672596</v>
      </c>
      <c r="S18" s="5">
        <f>SUM($Q$7:$Q18)/T18-1</f>
        <v>1384694.5999999999</v>
      </c>
      <c r="T18" s="18">
        <v>12</v>
      </c>
      <c r="U18" s="27"/>
      <c r="V18" s="136"/>
      <c r="W18" s="105">
        <v>-1161946</v>
      </c>
      <c r="X18" s="167"/>
      <c r="Y18" s="156">
        <f t="shared" si="7"/>
        <v>-1161946</v>
      </c>
      <c r="Z18" s="217"/>
      <c r="AA18" s="92"/>
    </row>
    <row r="19" spans="2:31">
      <c r="B19" s="116">
        <v>43738</v>
      </c>
      <c r="C19" s="14" t="str">
        <f t="shared" si="0"/>
        <v/>
      </c>
      <c r="D19" s="87"/>
      <c r="E19" s="87">
        <v>128</v>
      </c>
      <c r="F19" s="23">
        <v>-480542</v>
      </c>
      <c r="G19" s="26">
        <f>D19+E19+F19-E16-F16</f>
        <v>-20962</v>
      </c>
      <c r="H19" s="132">
        <v>600</v>
      </c>
      <c r="I19" s="25">
        <v>7100</v>
      </c>
      <c r="J19" s="63">
        <v>-500</v>
      </c>
      <c r="K19" s="170">
        <f t="shared" si="8"/>
        <v>7200</v>
      </c>
      <c r="L19" s="171">
        <v>24</v>
      </c>
      <c r="M19" s="153"/>
      <c r="N19" s="149">
        <f t="shared" si="6"/>
        <v>-13738</v>
      </c>
      <c r="O19" s="67">
        <f t="shared" si="2"/>
        <v>1151995.9384615382</v>
      </c>
      <c r="P19" s="7">
        <f t="shared" si="4"/>
        <v>14975947.199999997</v>
      </c>
      <c r="Q19" s="164">
        <f>Q18+N19+1</f>
        <v>1355317.35</v>
      </c>
      <c r="R19" s="29">
        <f t="shared" si="3"/>
        <v>1037.7478021359339</v>
      </c>
      <c r="S19" s="5">
        <f>SUM($Q$7:$Q19)/T19</f>
        <v>1382435.7346153844</v>
      </c>
      <c r="T19" s="18">
        <v>13</v>
      </c>
      <c r="U19" s="138">
        <f>B19</f>
        <v>43738</v>
      </c>
      <c r="V19" s="131" t="s">
        <v>289</v>
      </c>
      <c r="W19" s="105">
        <v>-1169170</v>
      </c>
      <c r="X19" s="167">
        <f>AVERAGE(W19:W27)</f>
        <v>-1191769.2222222222</v>
      </c>
      <c r="Y19" s="156">
        <f t="shared" si="7"/>
        <v>-1169170</v>
      </c>
      <c r="Z19" s="217">
        <f>AVERAGE(Y19:Y27)</f>
        <v>-1191769.2222222222</v>
      </c>
      <c r="AA19" s="92"/>
    </row>
    <row r="20" spans="2:31">
      <c r="B20" s="116">
        <v>43739</v>
      </c>
      <c r="C20" s="14"/>
      <c r="D20" s="87"/>
      <c r="E20" s="87">
        <v>251</v>
      </c>
      <c r="F20" s="23">
        <v>-484720</v>
      </c>
      <c r="G20" s="26">
        <f>D20+E20+F20-E19-F19</f>
        <v>-4055</v>
      </c>
      <c r="H20" s="132">
        <v>1000</v>
      </c>
      <c r="I20" s="25">
        <v>32000</v>
      </c>
      <c r="J20" s="63">
        <v>-500</v>
      </c>
      <c r="K20" s="170">
        <f t="shared" si="8"/>
        <v>32500</v>
      </c>
      <c r="L20" s="171">
        <v>-46</v>
      </c>
      <c r="M20" s="153"/>
      <c r="N20" s="149">
        <f t="shared" si="6"/>
        <v>28399</v>
      </c>
      <c r="O20" s="67">
        <f t="shared" si="2"/>
        <v>1159032.039285714</v>
      </c>
      <c r="P20" s="7">
        <f t="shared" si="4"/>
        <v>16226448.549999997</v>
      </c>
      <c r="Q20" s="164">
        <f>Q19+N20</f>
        <v>1383716.35</v>
      </c>
      <c r="R20" s="29">
        <f t="shared" si="3"/>
        <v>1037.8164674720242</v>
      </c>
      <c r="S20" s="5">
        <f>SUM($Q$7:$Q20)/T20</f>
        <v>1382527.2071428571</v>
      </c>
      <c r="T20" s="18">
        <v>14</v>
      </c>
      <c r="U20" s="138">
        <f>B19+8</f>
        <v>43746</v>
      </c>
      <c r="V20" s="131">
        <v>1402.6</v>
      </c>
      <c r="W20" s="105">
        <v>-1201624</v>
      </c>
      <c r="X20" s="167"/>
      <c r="Y20" s="156">
        <f>Y19-K20-L20</f>
        <v>-1201624</v>
      </c>
      <c r="Z20" s="217"/>
      <c r="AA20" s="92"/>
      <c r="AB20" s="92"/>
    </row>
    <row r="21" spans="2:31">
      <c r="B21" s="116">
        <v>43740</v>
      </c>
      <c r="C21" s="14" t="str">
        <f t="shared" si="0"/>
        <v/>
      </c>
      <c r="D21" s="87">
        <f>-2804+1821</f>
        <v>-983</v>
      </c>
      <c r="E21" s="87">
        <v>0</v>
      </c>
      <c r="F21" s="23">
        <v>-489969</v>
      </c>
      <c r="G21" s="26">
        <f>D21+E21+F21-E20-F20</f>
        <v>-6483</v>
      </c>
      <c r="H21" s="132">
        <v>500</v>
      </c>
      <c r="I21" s="25">
        <v>-2400</v>
      </c>
      <c r="J21" s="63">
        <v>-500</v>
      </c>
      <c r="K21" s="170">
        <f t="shared" si="8"/>
        <v>-2400</v>
      </c>
      <c r="L21" s="171">
        <v>31</v>
      </c>
      <c r="M21" s="153"/>
      <c r="N21" s="149">
        <f>L21+K21+G21+M21</f>
        <v>-8852</v>
      </c>
      <c r="O21" s="67">
        <f t="shared" si="2"/>
        <v>1164539.8599999999</v>
      </c>
      <c r="P21" s="7">
        <f t="shared" si="4"/>
        <v>17468097.899999999</v>
      </c>
      <c r="Q21" s="164">
        <f>Q20+N21</f>
        <v>1374864.35</v>
      </c>
      <c r="R21" s="29">
        <f t="shared" si="3"/>
        <v>1037.4322336073267</v>
      </c>
      <c r="S21" s="5">
        <f>SUM($Q$7:$Q21)/T21-1</f>
        <v>1382015.35</v>
      </c>
      <c r="T21" s="18">
        <v>15</v>
      </c>
      <c r="U21" s="4"/>
      <c r="V21" s="131"/>
      <c r="W21" s="105">
        <v>-1199255</v>
      </c>
      <c r="X21" s="167"/>
      <c r="Y21" s="156">
        <f>Y20-K21-L21</f>
        <v>-1199255</v>
      </c>
      <c r="Z21" s="217"/>
      <c r="AA21" s="92"/>
    </row>
    <row r="22" spans="2:31">
      <c r="B22" s="116">
        <v>43741</v>
      </c>
      <c r="C22" s="14" t="str">
        <f t="shared" si="0"/>
        <v/>
      </c>
      <c r="D22" s="87"/>
      <c r="E22" s="87">
        <v>109</v>
      </c>
      <c r="F22" s="23">
        <v>-452692</v>
      </c>
      <c r="G22" s="26">
        <f>D22+E22+F22-E21-F21</f>
        <v>37386</v>
      </c>
      <c r="H22" s="132">
        <v>500</v>
      </c>
      <c r="I22" s="25">
        <v>-1000</v>
      </c>
      <c r="J22" s="63">
        <v>-600</v>
      </c>
      <c r="K22" s="170">
        <f t="shared" si="8"/>
        <v>-1100</v>
      </c>
      <c r="L22" s="171">
        <v>-4</v>
      </c>
      <c r="M22" s="153"/>
      <c r="N22" s="149">
        <f>L22+K22+G22+M22</f>
        <v>36282</v>
      </c>
      <c r="O22" s="67">
        <f t="shared" si="2"/>
        <v>1171626.765625</v>
      </c>
      <c r="P22" s="7">
        <f t="shared" si="4"/>
        <v>18746028.25</v>
      </c>
      <c r="Q22" s="164">
        <f>Q21+N22-1</f>
        <v>1411145.35</v>
      </c>
      <c r="R22" s="29">
        <f t="shared" si="3"/>
        <v>1038.798868370679</v>
      </c>
      <c r="S22" s="5">
        <f>SUM($Q$7:$Q22)/T22-1</f>
        <v>1383835.9125000001</v>
      </c>
      <c r="T22" s="18">
        <v>16</v>
      </c>
      <c r="U22" s="4"/>
      <c r="V22" s="131"/>
      <c r="W22" s="105">
        <v>-1198151</v>
      </c>
      <c r="X22" s="167"/>
      <c r="Y22" s="156">
        <f>Y21-K22-L22</f>
        <v>-1198151</v>
      </c>
      <c r="Z22" s="217"/>
      <c r="AA22" s="92"/>
    </row>
    <row r="23" spans="2:31">
      <c r="B23" s="116">
        <v>43742</v>
      </c>
      <c r="C23" s="14" t="str">
        <f t="shared" si="0"/>
        <v/>
      </c>
      <c r="D23" s="87"/>
      <c r="E23" s="87">
        <v>0</v>
      </c>
      <c r="F23" s="23">
        <v>-456509</v>
      </c>
      <c r="G23" s="26">
        <f t="shared" ref="G23" si="9">D23+E23+F23-E22-F22</f>
        <v>-3926</v>
      </c>
      <c r="H23" s="132">
        <v>500</v>
      </c>
      <c r="I23" s="25">
        <v>0</v>
      </c>
      <c r="J23" s="63">
        <v>-600</v>
      </c>
      <c r="K23" s="170">
        <f t="shared" si="8"/>
        <v>-100</v>
      </c>
      <c r="L23" s="171">
        <v>-47</v>
      </c>
      <c r="M23" s="153"/>
      <c r="N23" s="149">
        <f>L23+K23+G23+M23</f>
        <v>-4073</v>
      </c>
      <c r="O23" s="67">
        <f t="shared" si="2"/>
        <v>1177640.3294117649</v>
      </c>
      <c r="P23" s="7">
        <f t="shared" si="4"/>
        <v>20019885.600000001</v>
      </c>
      <c r="Q23" s="164">
        <f>Q22+N23</f>
        <v>1407072.35</v>
      </c>
      <c r="R23" s="29">
        <f t="shared" si="3"/>
        <v>1039.8256224458032</v>
      </c>
      <c r="S23" s="5">
        <f>SUM($Q$7:$Q23)/T23</f>
        <v>1385203.7029411767</v>
      </c>
      <c r="T23" s="18">
        <v>17</v>
      </c>
      <c r="U23" s="27"/>
      <c r="V23" s="135"/>
      <c r="W23" s="105">
        <v>-1198004</v>
      </c>
      <c r="X23" s="167"/>
      <c r="Y23" s="156">
        <f t="shared" si="7"/>
        <v>-1198004</v>
      </c>
      <c r="Z23" s="217"/>
      <c r="AA23" s="92"/>
    </row>
    <row r="24" spans="2:31">
      <c r="B24" s="116">
        <v>43743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1182985.7194444446</v>
      </c>
      <c r="P24" s="7">
        <f t="shared" si="4"/>
        <v>21293742.950000003</v>
      </c>
      <c r="Q24" s="164">
        <f t="shared" si="5"/>
        <v>1407072.35</v>
      </c>
      <c r="R24" s="29">
        <f t="shared" si="3"/>
        <v>1040.7376254759433</v>
      </c>
      <c r="S24" s="5">
        <f>SUM($Q$7:$Q24)/T24</f>
        <v>1386418.6277777781</v>
      </c>
      <c r="T24" s="18">
        <v>18</v>
      </c>
      <c r="U24" s="4"/>
      <c r="V24" s="135"/>
      <c r="W24" s="105">
        <v>-1198004</v>
      </c>
      <c r="X24" s="167"/>
      <c r="Y24" s="156">
        <f t="shared" si="7"/>
        <v>-1198004</v>
      </c>
      <c r="Z24" s="217"/>
      <c r="AA24" s="92"/>
      <c r="AD24" s="1"/>
      <c r="AE24" s="1"/>
    </row>
    <row r="25" spans="2:31">
      <c r="B25" s="116">
        <v>43744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1187768.4368421056</v>
      </c>
      <c r="P25" s="7">
        <f t="shared" si="4"/>
        <v>22567600.300000004</v>
      </c>
      <c r="Q25" s="164">
        <f t="shared" si="5"/>
        <v>1407072.35</v>
      </c>
      <c r="R25" s="29">
        <f t="shared" si="3"/>
        <v>1041.5536281871216</v>
      </c>
      <c r="S25" s="5">
        <f>SUM($Q$7:$Q25)/T25</f>
        <v>1387505.665789474</v>
      </c>
      <c r="T25" s="18">
        <v>19</v>
      </c>
      <c r="U25" s="4"/>
      <c r="V25" s="131"/>
      <c r="W25" s="105">
        <v>-1198004</v>
      </c>
      <c r="X25" s="167"/>
      <c r="Y25" s="156">
        <f t="shared" si="7"/>
        <v>-1198004</v>
      </c>
      <c r="Z25" s="217"/>
      <c r="AA25" s="92"/>
      <c r="AD25" s="1"/>
      <c r="AE25" s="1"/>
    </row>
    <row r="26" spans="2:31">
      <c r="B26" s="116">
        <v>43745</v>
      </c>
      <c r="C26" s="14" t="str">
        <f t="shared" si="0"/>
        <v/>
      </c>
      <c r="D26" s="87"/>
      <c r="E26" s="87">
        <v>0</v>
      </c>
      <c r="F26" s="23">
        <v>-446556</v>
      </c>
      <c r="G26" s="26">
        <f>D26+E26+F26-E23-F23</f>
        <v>9953</v>
      </c>
      <c r="H26" s="132">
        <v>500</v>
      </c>
      <c r="I26" s="25">
        <v>-14600</v>
      </c>
      <c r="J26" s="63">
        <v>200</v>
      </c>
      <c r="K26" s="170">
        <f t="shared" si="8"/>
        <v>-13900</v>
      </c>
      <c r="L26" s="171">
        <v>-48</v>
      </c>
      <c r="M26" s="153"/>
      <c r="N26" s="149">
        <f t="shared" si="6"/>
        <v>-3995</v>
      </c>
      <c r="O26" s="67">
        <f t="shared" si="2"/>
        <v>1191853.1325000003</v>
      </c>
      <c r="P26" s="7">
        <f t="shared" si="4"/>
        <v>23837062.650000006</v>
      </c>
      <c r="Q26" s="164">
        <f>Q25+N26-400</f>
        <v>1402677.35</v>
      </c>
      <c r="R26" s="29">
        <f t="shared" si="3"/>
        <v>1042.1230717261571</v>
      </c>
      <c r="S26" s="5">
        <f>SUM($Q$7:$Q26)/T26</f>
        <v>1388264.2500000005</v>
      </c>
      <c r="T26" s="18">
        <v>20</v>
      </c>
      <c r="U26" s="138">
        <f>B26</f>
        <v>43745</v>
      </c>
      <c r="V26" s="131" t="s">
        <v>290</v>
      </c>
      <c r="W26" s="105">
        <v>-1183655</v>
      </c>
      <c r="X26" s="167">
        <f>AVERAGE(W26:W34)</f>
        <v>-1182556.4444444445</v>
      </c>
      <c r="Y26" s="156">
        <f>Y25-K26-L26+1+400</f>
        <v>-1183655</v>
      </c>
      <c r="Z26" s="217">
        <f>AVERAGE(Y26:Y34)</f>
        <v>-1182556.4444444445</v>
      </c>
      <c r="AC26" s="92"/>
      <c r="AD26" s="1"/>
      <c r="AE26" s="1"/>
    </row>
    <row r="27" spans="2:31">
      <c r="B27" s="116">
        <v>43746</v>
      </c>
      <c r="C27" s="14" t="str">
        <f t="shared" si="0"/>
        <v/>
      </c>
      <c r="D27" s="87"/>
      <c r="E27" s="87">
        <v>250</v>
      </c>
      <c r="F27" s="23">
        <v>-449099</v>
      </c>
      <c r="G27" s="26">
        <f>D27+E27+F27-E26-F26</f>
        <v>-2293</v>
      </c>
      <c r="H27" s="132">
        <v>400</v>
      </c>
      <c r="I27" s="25">
        <v>-4200</v>
      </c>
      <c r="J27" s="63">
        <v>200</v>
      </c>
      <c r="K27" s="170">
        <f t="shared" si="8"/>
        <v>-3600</v>
      </c>
      <c r="L27" s="171">
        <v>0</v>
      </c>
      <c r="M27" s="153"/>
      <c r="N27" s="149">
        <f>L27+K27+G27+M27</f>
        <v>-5893</v>
      </c>
      <c r="O27" s="67">
        <f t="shared" si="2"/>
        <v>1195268.2380952383</v>
      </c>
      <c r="P27" s="7">
        <f t="shared" si="4"/>
        <v>25100633.000000007</v>
      </c>
      <c r="Q27" s="164">
        <f>Q26+N27+2-1</f>
        <v>1396785.35</v>
      </c>
      <c r="R27" s="29">
        <f t="shared" si="3"/>
        <v>1042.4276670545112</v>
      </c>
      <c r="S27" s="5">
        <f>SUM($Q$7:$Q27)/T27</f>
        <v>1388670.0166666671</v>
      </c>
      <c r="T27" s="18">
        <v>21</v>
      </c>
      <c r="U27" s="138">
        <f>B28+6</f>
        <v>43753</v>
      </c>
      <c r="V27" s="159">
        <v>1421.6</v>
      </c>
      <c r="W27" s="105">
        <v>-1180056</v>
      </c>
      <c r="X27" s="167"/>
      <c r="Y27" s="156">
        <f>Y26-K27-L27-1</f>
        <v>-1180056</v>
      </c>
      <c r="Z27" s="217"/>
      <c r="AA27" s="92"/>
      <c r="AD27" s="1"/>
      <c r="AE27" s="1"/>
    </row>
    <row r="28" spans="2:31">
      <c r="B28" s="116">
        <v>43747</v>
      </c>
      <c r="C28" s="14" t="str">
        <f t="shared" si="0"/>
        <v/>
      </c>
      <c r="D28" s="87">
        <f>-1821+2289</f>
        <v>468</v>
      </c>
      <c r="E28" s="87">
        <v>0</v>
      </c>
      <c r="F28" s="23">
        <v>-460367</v>
      </c>
      <c r="G28" s="26">
        <f>D28+E28+F28-E27-F27</f>
        <v>-11050</v>
      </c>
      <c r="H28" s="132">
        <v>-3500</v>
      </c>
      <c r="I28" s="25">
        <v>11700</v>
      </c>
      <c r="J28" s="25">
        <v>0</v>
      </c>
      <c r="K28" s="170">
        <f t="shared" si="8"/>
        <v>8200</v>
      </c>
      <c r="L28" s="171">
        <v>26</v>
      </c>
      <c r="M28" s="153"/>
      <c r="N28" s="149">
        <f>L28+K28+G28+M28</f>
        <v>-2824</v>
      </c>
      <c r="O28" s="67">
        <f t="shared" si="2"/>
        <v>1198244.4250000005</v>
      </c>
      <c r="P28" s="7">
        <f t="shared" si="4"/>
        <v>26361377.350000009</v>
      </c>
      <c r="Q28" s="164">
        <f>Q27+N28-2</f>
        <v>1393959.35</v>
      </c>
      <c r="R28" s="29">
        <f t="shared" si="3"/>
        <v>1042.6081454108705</v>
      </c>
      <c r="S28" s="5">
        <f>SUM($Q$7:$Q28)/T28</f>
        <v>1388910.4409090914</v>
      </c>
      <c r="T28" s="18">
        <v>22</v>
      </c>
      <c r="U28" s="4"/>
      <c r="V28" s="131"/>
      <c r="W28" s="105">
        <v>-1188281</v>
      </c>
      <c r="X28" s="167"/>
      <c r="Y28" s="156">
        <f>Y27-K28-L28+1</f>
        <v>-1188281</v>
      </c>
      <c r="Z28" s="217"/>
      <c r="AA28" s="92"/>
      <c r="AD28" s="1"/>
      <c r="AE28" s="1"/>
    </row>
    <row r="29" spans="2:31">
      <c r="B29" s="116">
        <v>43748</v>
      </c>
      <c r="C29" s="14" t="str">
        <f t="shared" si="0"/>
        <v/>
      </c>
      <c r="D29" s="87"/>
      <c r="E29" s="87">
        <v>4</v>
      </c>
      <c r="F29" s="23">
        <v>-458706</v>
      </c>
      <c r="G29" s="26">
        <f>D29+E29+F29-E28-F28</f>
        <v>1665</v>
      </c>
      <c r="H29" s="132">
        <v>500</v>
      </c>
      <c r="I29" s="25">
        <v>-12200</v>
      </c>
      <c r="J29" s="25">
        <v>-100</v>
      </c>
      <c r="K29" s="170">
        <f t="shared" si="8"/>
        <v>-11800</v>
      </c>
      <c r="L29" s="171">
        <v>42</v>
      </c>
      <c r="M29" s="153"/>
      <c r="N29" s="149">
        <f>L29+K29+G29+M29</f>
        <v>-10093</v>
      </c>
      <c r="O29" s="67">
        <f t="shared" si="2"/>
        <v>1200523.1173913048</v>
      </c>
      <c r="P29" s="7">
        <f t="shared" si="4"/>
        <v>27612031.70000001</v>
      </c>
      <c r="Q29" s="164">
        <f>Q28+N29+2+1</f>
        <v>1383869.35</v>
      </c>
      <c r="R29" s="29">
        <f t="shared" si="3"/>
        <v>1042.4481199890995</v>
      </c>
      <c r="S29" s="5">
        <f>SUM($Q$7:$Q29)/T29+6</f>
        <v>1388697.2630434788</v>
      </c>
      <c r="T29" s="18">
        <v>23</v>
      </c>
      <c r="U29" s="4"/>
      <c r="V29" s="131"/>
      <c r="W29" s="105">
        <v>-1176525</v>
      </c>
      <c r="X29" s="167"/>
      <c r="Y29" s="156">
        <f>Y28-K29-L29-2</f>
        <v>-1176525</v>
      </c>
      <c r="Z29" s="217"/>
      <c r="AA29" s="92"/>
      <c r="AD29" s="1"/>
      <c r="AE29" s="1"/>
    </row>
    <row r="30" spans="2:31">
      <c r="B30" s="116">
        <v>43749</v>
      </c>
      <c r="C30" s="14" t="str">
        <f t="shared" si="0"/>
        <v/>
      </c>
      <c r="D30" s="87"/>
      <c r="E30" s="87">
        <v>6</v>
      </c>
      <c r="F30" s="23">
        <v>-458840</v>
      </c>
      <c r="G30" s="26">
        <f>D30+E30+F30-E29-F29</f>
        <v>-132</v>
      </c>
      <c r="H30" s="132">
        <v>500</v>
      </c>
      <c r="I30" s="25">
        <v>8900</v>
      </c>
      <c r="J30" s="25">
        <v>-100</v>
      </c>
      <c r="K30" s="170">
        <f t="shared" si="8"/>
        <v>9300</v>
      </c>
      <c r="L30" s="171">
        <v>37</v>
      </c>
      <c r="M30" s="153"/>
      <c r="N30" s="149">
        <f t="shared" si="6"/>
        <v>9205</v>
      </c>
      <c r="O30" s="67">
        <f t="shared" si="2"/>
        <v>1202995.1270833339</v>
      </c>
      <c r="P30" s="7">
        <f t="shared" si="4"/>
        <v>28871883.050000012</v>
      </c>
      <c r="Q30" s="164">
        <f>Q29+N30+1-9</f>
        <v>1393066.35</v>
      </c>
      <c r="R30" s="29">
        <f t="shared" si="3"/>
        <v>1042.5849629045781</v>
      </c>
      <c r="S30" s="5">
        <f>SUM($Q$7:$Q30)/T30+6</f>
        <v>1388879.5583333338</v>
      </c>
      <c r="T30" s="18">
        <v>24</v>
      </c>
      <c r="U30" s="4"/>
      <c r="V30" s="131"/>
      <c r="W30" s="105">
        <v>-1185854</v>
      </c>
      <c r="X30" s="167"/>
      <c r="Y30" s="156">
        <f>Y29-K30-L30+8</f>
        <v>-1185854</v>
      </c>
      <c r="Z30" s="217"/>
      <c r="AA30" s="92"/>
      <c r="AD30" s="1"/>
      <c r="AE30" s="1"/>
    </row>
    <row r="31" spans="2:31">
      <c r="B31" s="116">
        <v>43750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1205269.3760000006</v>
      </c>
      <c r="P31" s="7">
        <f t="shared" si="4"/>
        <v>30131734.400000013</v>
      </c>
      <c r="Q31" s="164">
        <f t="shared" si="5"/>
        <v>1393066.35</v>
      </c>
      <c r="R31" s="29">
        <f t="shared" si="3"/>
        <v>1042.7078557219536</v>
      </c>
      <c r="S31" s="5">
        <f>SUM($Q$7:$Q31)/T31+2</f>
        <v>1389043.2700000005</v>
      </c>
      <c r="T31" s="18">
        <v>25</v>
      </c>
      <c r="U31" s="4"/>
      <c r="V31" s="137"/>
      <c r="W31" s="105">
        <v>-1185854</v>
      </c>
      <c r="X31" s="167"/>
      <c r="Y31" s="156">
        <f t="shared" si="7"/>
        <v>-1185854</v>
      </c>
      <c r="Z31" s="217"/>
      <c r="AA31" s="92"/>
      <c r="AB31" s="92"/>
      <c r="AD31" s="1"/>
      <c r="AE31" s="1"/>
    </row>
    <row r="32" spans="2:31">
      <c r="B32" s="116">
        <v>43751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1207368.6826923082</v>
      </c>
      <c r="P32" s="7">
        <f t="shared" si="4"/>
        <v>31391585.750000015</v>
      </c>
      <c r="Q32" s="164">
        <f t="shared" si="5"/>
        <v>1393066.35</v>
      </c>
      <c r="R32" s="29">
        <f t="shared" si="3"/>
        <v>1042.8225656038969</v>
      </c>
      <c r="S32" s="5">
        <f>SUM($Q$7:$Q32)/T32</f>
        <v>1389196.0807692313</v>
      </c>
      <c r="T32" s="18">
        <v>26</v>
      </c>
      <c r="U32" s="27"/>
      <c r="V32" s="137"/>
      <c r="W32" s="105">
        <v>-1185854</v>
      </c>
      <c r="X32" s="167"/>
      <c r="Y32" s="156">
        <f t="shared" si="7"/>
        <v>-1185854</v>
      </c>
      <c r="Z32" s="217"/>
      <c r="AD32" s="1"/>
      <c r="AE32" s="1"/>
    </row>
    <row r="33" spans="2:31">
      <c r="B33" s="116">
        <v>43752</v>
      </c>
      <c r="C33" s="14" t="str">
        <f t="shared" si="0"/>
        <v/>
      </c>
      <c r="D33" s="87"/>
      <c r="E33" s="87">
        <v>44</v>
      </c>
      <c r="F33" s="23">
        <v>-461282</v>
      </c>
      <c r="G33" s="26">
        <f>D33+E33+F33-E30-F30</f>
        <v>-2404</v>
      </c>
      <c r="H33" s="132">
        <v>600</v>
      </c>
      <c r="I33" s="25">
        <v>800</v>
      </c>
      <c r="J33" s="25">
        <v>200</v>
      </c>
      <c r="K33" s="170">
        <f t="shared" si="8"/>
        <v>1600</v>
      </c>
      <c r="L33" s="171">
        <v>-42</v>
      </c>
      <c r="M33" s="153"/>
      <c r="N33" s="149">
        <f t="shared" si="6"/>
        <v>-846</v>
      </c>
      <c r="O33" s="67">
        <f t="shared" si="2"/>
        <v>1209281.1888888895</v>
      </c>
      <c r="P33" s="7">
        <f t="shared" si="4"/>
        <v>32650592.100000016</v>
      </c>
      <c r="Q33" s="164">
        <f>Q32+N33+1</f>
        <v>1392221.35</v>
      </c>
      <c r="R33" s="29">
        <f t="shared" si="3"/>
        <v>1042.9059248416308</v>
      </c>
      <c r="S33" s="5">
        <f>SUM($Q$7:$Q33)/T33-1</f>
        <v>1389307.1277777785</v>
      </c>
      <c r="T33" s="18">
        <v>27</v>
      </c>
      <c r="U33" s="138">
        <f>B33</f>
        <v>43752</v>
      </c>
      <c r="V33" s="131" t="s">
        <v>291</v>
      </c>
      <c r="W33" s="105">
        <v>-1187413</v>
      </c>
      <c r="X33" s="167">
        <f>AVERAGE(W33:W48)</f>
        <v>-1171789.625</v>
      </c>
      <c r="Y33" s="156">
        <f>Y32-K33-L33-1</f>
        <v>-1187413</v>
      </c>
      <c r="Z33" s="217">
        <f>AVERAGE(Y33:Y41)</f>
        <v>-1166803.2222222222</v>
      </c>
      <c r="AD33" s="1"/>
      <c r="AE33" s="1"/>
    </row>
    <row r="34" spans="2:31">
      <c r="B34" s="116">
        <v>43753</v>
      </c>
      <c r="C34" s="14" t="str">
        <f t="shared" si="0"/>
        <v/>
      </c>
      <c r="D34" s="87"/>
      <c r="E34" s="87">
        <v>30</v>
      </c>
      <c r="F34" s="23">
        <v>-445088</v>
      </c>
      <c r="G34" s="26">
        <f>D34+E34+F34-E33-F33</f>
        <v>16180</v>
      </c>
      <c r="H34" s="132">
        <v>7900</v>
      </c>
      <c r="I34" s="25">
        <v>-26000</v>
      </c>
      <c r="J34" s="25">
        <v>200</v>
      </c>
      <c r="K34" s="170">
        <f t="shared" si="8"/>
        <v>-17900</v>
      </c>
      <c r="L34" s="171">
        <v>4</v>
      </c>
      <c r="M34" s="153"/>
      <c r="N34" s="149">
        <f>L34+K34+G34+M34</f>
        <v>-1716</v>
      </c>
      <c r="O34" s="67">
        <f t="shared" si="2"/>
        <v>1210995.7303571436</v>
      </c>
      <c r="P34" s="7">
        <f t="shared" si="4"/>
        <v>33907880.450000018</v>
      </c>
      <c r="Q34" s="164">
        <f>Q33+N34-2</f>
        <v>1390503.35</v>
      </c>
      <c r="R34" s="29">
        <f t="shared" si="3"/>
        <v>1042.9387188272453</v>
      </c>
      <c r="S34" s="5">
        <f>SUM($Q$7:$Q34)/T34</f>
        <v>1389350.8142857149</v>
      </c>
      <c r="T34" s="18">
        <v>28</v>
      </c>
      <c r="U34" s="138">
        <f>B33+8</f>
        <v>43760</v>
      </c>
      <c r="V34" s="131">
        <v>1436.3</v>
      </c>
      <c r="W34" s="105">
        <v>-1169516</v>
      </c>
      <c r="X34" s="167"/>
      <c r="Y34" s="156">
        <f>Y33-K34-L34+1</f>
        <v>-1169516</v>
      </c>
      <c r="Z34" s="217"/>
      <c r="AA34" s="92"/>
      <c r="AD34" s="1"/>
      <c r="AE34" s="1"/>
    </row>
    <row r="35" spans="2:31">
      <c r="B35" s="116">
        <v>43754</v>
      </c>
      <c r="C35" s="14" t="str">
        <f t="shared" si="0"/>
        <v/>
      </c>
      <c r="D35" s="87">
        <f>-2289+1882</f>
        <v>-407</v>
      </c>
      <c r="E35" s="87">
        <v>39</v>
      </c>
      <c r="F35" s="23">
        <v>-449548</v>
      </c>
      <c r="G35" s="26">
        <f>D35+E35+F35-E34-F34</f>
        <v>-4858</v>
      </c>
      <c r="H35" s="132">
        <v>3100</v>
      </c>
      <c r="I35" s="25">
        <v>-900</v>
      </c>
      <c r="J35" s="25">
        <v>200</v>
      </c>
      <c r="K35" s="170">
        <f t="shared" si="8"/>
        <v>2400</v>
      </c>
      <c r="L35" s="171">
        <v>21</v>
      </c>
      <c r="M35" s="153"/>
      <c r="N35" s="149">
        <f t="shared" si="6"/>
        <v>-2437</v>
      </c>
      <c r="O35" s="67">
        <f t="shared" si="2"/>
        <v>1212508.0965517247</v>
      </c>
      <c r="P35" s="7">
        <f t="shared" si="4"/>
        <v>35162734.800000019</v>
      </c>
      <c r="Q35" s="164">
        <f>Q34+N35+3</f>
        <v>1388069.35</v>
      </c>
      <c r="R35" s="29">
        <f t="shared" si="3"/>
        <v>1042.9055480704646</v>
      </c>
      <c r="S35" s="5">
        <f>SUM($Q$7:$Q35)/T35</f>
        <v>1389306.6258620697</v>
      </c>
      <c r="T35" s="18">
        <v>29</v>
      </c>
      <c r="U35" s="4"/>
      <c r="V35" s="131"/>
      <c r="W35" s="105">
        <v>-1171938</v>
      </c>
      <c r="X35" s="167"/>
      <c r="Y35" s="156">
        <f>Y34-K35-L35-1</f>
        <v>-1171938</v>
      </c>
      <c r="Z35" s="217"/>
      <c r="AA35" s="92"/>
      <c r="AD35" s="1"/>
      <c r="AE35" s="1"/>
    </row>
    <row r="36" spans="2:31">
      <c r="B36" s="116">
        <v>43755</v>
      </c>
      <c r="C36" s="14" t="str">
        <f t="shared" si="0"/>
        <v/>
      </c>
      <c r="D36" s="87"/>
      <c r="E36" s="87">
        <v>4</v>
      </c>
      <c r="F36" s="23">
        <v>-444703</v>
      </c>
      <c r="G36" s="26">
        <f>D36+E36+F36-E35-F35</f>
        <v>4810</v>
      </c>
      <c r="H36" s="132">
        <v>-200</v>
      </c>
      <c r="I36" s="25">
        <v>-17100</v>
      </c>
      <c r="J36" s="25">
        <v>-100</v>
      </c>
      <c r="K36" s="170">
        <f t="shared" si="8"/>
        <v>-17400</v>
      </c>
      <c r="L36" s="171">
        <v>13</v>
      </c>
      <c r="M36" s="153"/>
      <c r="N36" s="149">
        <f t="shared" si="6"/>
        <v>-12577</v>
      </c>
      <c r="O36" s="67">
        <f t="shared" si="2"/>
        <v>1213500.2716666674</v>
      </c>
      <c r="P36" s="7">
        <f t="shared" si="4"/>
        <v>36405008.150000021</v>
      </c>
      <c r="Q36" s="164">
        <f>Q35+N36-4</f>
        <v>1375488.35</v>
      </c>
      <c r="R36" s="29">
        <f t="shared" si="3"/>
        <v>1042.5597843085743</v>
      </c>
      <c r="S36" s="5">
        <f>SUM($Q$7:$Q36)/T36</f>
        <v>1388846.0166666673</v>
      </c>
      <c r="T36" s="18">
        <v>30</v>
      </c>
      <c r="U36" s="4"/>
      <c r="V36" s="136"/>
      <c r="W36" s="105">
        <v>-1154548</v>
      </c>
      <c r="X36" s="167"/>
      <c r="Y36" s="156">
        <f>Y35-K36-L36+3</f>
        <v>-1154548</v>
      </c>
      <c r="Z36" s="217"/>
      <c r="AD36" s="1"/>
      <c r="AE36" s="1"/>
    </row>
    <row r="37" spans="2:31">
      <c r="B37" s="116">
        <v>43756</v>
      </c>
      <c r="C37" s="14" t="str">
        <f t="shared" si="0"/>
        <v/>
      </c>
      <c r="D37" s="87"/>
      <c r="E37" s="87">
        <v>72</v>
      </c>
      <c r="F37" s="23">
        <v>-438704</v>
      </c>
      <c r="G37" s="26">
        <f>D37+E37+F37-E36-F36</f>
        <v>6067</v>
      </c>
      <c r="H37" s="132">
        <v>-7400</v>
      </c>
      <c r="I37" s="25">
        <v>19700</v>
      </c>
      <c r="J37" s="25">
        <v>-100</v>
      </c>
      <c r="K37" s="170">
        <f t="shared" si="8"/>
        <v>12200</v>
      </c>
      <c r="L37" s="171">
        <v>36</v>
      </c>
      <c r="M37" s="153"/>
      <c r="N37" s="149">
        <f t="shared" si="6"/>
        <v>18303</v>
      </c>
      <c r="O37" s="67">
        <f t="shared" si="2"/>
        <v>1215018.7903225813</v>
      </c>
      <c r="P37" s="7">
        <f t="shared" si="4"/>
        <v>37665582.500000022</v>
      </c>
      <c r="Q37" s="164">
        <f>Q36+N37-2</f>
        <v>1393789.35</v>
      </c>
      <c r="R37" s="29">
        <f t="shared" si="3"/>
        <v>1042.6802379854062</v>
      </c>
      <c r="S37" s="5">
        <f>SUM($Q$7:$Q37)/T37+1</f>
        <v>1389006.4790322587</v>
      </c>
      <c r="T37" s="18">
        <v>31</v>
      </c>
      <c r="U37" s="27"/>
      <c r="V37" s="137"/>
      <c r="W37" s="105">
        <v>-1166781</v>
      </c>
      <c r="X37" s="167"/>
      <c r="Y37" s="156">
        <f>Y36-K37-L37+3</f>
        <v>-1166781</v>
      </c>
      <c r="Z37" s="217"/>
      <c r="AA37" s="92"/>
      <c r="AD37" s="1"/>
      <c r="AE37" s="1"/>
    </row>
    <row r="38" spans="2:31">
      <c r="B38" s="116">
        <v>43757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1216442.4015625007</v>
      </c>
      <c r="P38" s="7">
        <f t="shared" si="4"/>
        <v>38926156.850000024</v>
      </c>
      <c r="Q38" s="164">
        <f>Q37+N38</f>
        <v>1393789.35</v>
      </c>
      <c r="R38" s="29">
        <f t="shared" si="3"/>
        <v>1042.791708891642</v>
      </c>
      <c r="S38" s="5">
        <f>SUM($Q$7:$Q38)/T38</f>
        <v>1389154.9750000008</v>
      </c>
      <c r="T38" s="18">
        <v>32</v>
      </c>
      <c r="U38" s="27"/>
      <c r="V38" s="137"/>
      <c r="W38" s="105">
        <v>-1166781</v>
      </c>
      <c r="X38" s="167"/>
      <c r="Y38" s="156">
        <f t="shared" si="7"/>
        <v>-1166781</v>
      </c>
      <c r="Z38" s="217"/>
      <c r="AD38" s="1"/>
      <c r="AE38" s="1"/>
    </row>
    <row r="39" spans="2:31">
      <c r="B39" s="116">
        <v>43758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1217779.8242424249</v>
      </c>
      <c r="P39" s="7">
        <f t="shared" si="4"/>
        <v>40186734.200000025</v>
      </c>
      <c r="Q39" s="164">
        <f t="shared" ref="Q39" si="10">Q38+N39+3</f>
        <v>1393792.35</v>
      </c>
      <c r="R39" s="29">
        <f t="shared" si="3"/>
        <v>1042.8964467328396</v>
      </c>
      <c r="S39" s="5">
        <f>SUM($Q$7:$Q39)/T39-1</f>
        <v>1389294.5015151524</v>
      </c>
      <c r="T39" s="18">
        <v>33</v>
      </c>
      <c r="U39" s="27"/>
      <c r="V39" s="137"/>
      <c r="W39" s="105">
        <v>-1166781</v>
      </c>
      <c r="X39" s="167"/>
      <c r="Y39" s="156">
        <f t="shared" si="7"/>
        <v>-1166781</v>
      </c>
      <c r="Z39" s="217"/>
      <c r="AD39" s="1"/>
      <c r="AE39" s="1"/>
    </row>
    <row r="40" spans="2:31">
      <c r="B40" s="116">
        <v>43759</v>
      </c>
      <c r="C40" s="14" t="str">
        <f t="shared" si="0"/>
        <v/>
      </c>
      <c r="D40" s="87"/>
      <c r="E40" s="87">
        <v>10</v>
      </c>
      <c r="F40" s="23">
        <v>-451241</v>
      </c>
      <c r="G40" s="26">
        <f>D40+E40+F40-E37-F37</f>
        <v>-12599</v>
      </c>
      <c r="H40" s="132">
        <v>-14500</v>
      </c>
      <c r="I40" s="25">
        <v>5500</v>
      </c>
      <c r="J40" s="25">
        <v>200</v>
      </c>
      <c r="K40" s="170">
        <f t="shared" si="8"/>
        <v>-8800</v>
      </c>
      <c r="L40" s="171">
        <v>-30</v>
      </c>
      <c r="M40" s="153"/>
      <c r="N40" s="149">
        <f t="shared" si="6"/>
        <v>-21429</v>
      </c>
      <c r="O40" s="67">
        <f t="shared" si="2"/>
        <v>1218408.1632352949</v>
      </c>
      <c r="P40" s="7">
        <f t="shared" si="4"/>
        <v>41425877.550000027</v>
      </c>
      <c r="Q40" s="164">
        <f>Q39+N40-5</f>
        <v>1372358.35</v>
      </c>
      <c r="R40" s="29">
        <f t="shared" si="3"/>
        <v>1042.5232518860496</v>
      </c>
      <c r="S40" s="5">
        <f>SUM($Q$7:$Q40)/T40</f>
        <v>1388797.3500000008</v>
      </c>
      <c r="T40" s="18">
        <v>34</v>
      </c>
      <c r="U40" s="138">
        <f>B40</f>
        <v>43759</v>
      </c>
      <c r="V40" s="131" t="s">
        <v>292</v>
      </c>
      <c r="W40" s="105">
        <v>-1157950</v>
      </c>
      <c r="X40" s="167">
        <f>AVERAGE(W40:W55)</f>
        <v>-1173875.111111111</v>
      </c>
      <c r="Y40" s="156">
        <f>Y39-K40-L40+1</f>
        <v>-1157950</v>
      </c>
      <c r="Z40" s="217">
        <f>AVERAGE(Y40:Y48)</f>
        <v>-1173875.111111111</v>
      </c>
      <c r="AD40" s="1"/>
      <c r="AE40" s="1"/>
    </row>
    <row r="41" spans="2:31">
      <c r="B41" s="116">
        <v>43760</v>
      </c>
      <c r="C41" s="14" t="str">
        <f t="shared" si="0"/>
        <v/>
      </c>
      <c r="D41" s="250"/>
      <c r="E41" s="250">
        <v>0</v>
      </c>
      <c r="F41" s="251">
        <v>-451940</v>
      </c>
      <c r="G41" s="252">
        <f>D41+E41+F41-E40-F40</f>
        <v>-709</v>
      </c>
      <c r="H41" s="253">
        <v>-300</v>
      </c>
      <c r="I41" s="254">
        <v>1700</v>
      </c>
      <c r="J41" s="254">
        <v>200</v>
      </c>
      <c r="K41" s="255">
        <f t="shared" si="8"/>
        <v>1600</v>
      </c>
      <c r="L41" s="171">
        <v>-28</v>
      </c>
      <c r="M41" s="153"/>
      <c r="N41" s="149">
        <f t="shared" si="6"/>
        <v>863</v>
      </c>
      <c r="O41" s="67">
        <f t="shared" si="2"/>
        <v>1219025.1971428581</v>
      </c>
      <c r="P41" s="7">
        <f t="shared" si="4"/>
        <v>42665881.900000028</v>
      </c>
      <c r="Q41" s="164">
        <f>Q40+N41-2</f>
        <v>1373219.35</v>
      </c>
      <c r="R41" s="29">
        <f t="shared" si="3"/>
        <v>1042.1891410769922</v>
      </c>
      <c r="S41" s="5">
        <f>SUM($Q$7:$Q41)/T41</f>
        <v>1388352.2642857151</v>
      </c>
      <c r="T41" s="18">
        <v>35</v>
      </c>
      <c r="U41" s="138">
        <f>B40+8</f>
        <v>43767</v>
      </c>
      <c r="V41" s="131">
        <v>1423.7</v>
      </c>
      <c r="W41" s="105">
        <v>-1159521</v>
      </c>
      <c r="X41" s="167"/>
      <c r="Y41" s="156">
        <f t="shared" ref="Y41" si="11">Y40-K41-L41+1</f>
        <v>-1159521</v>
      </c>
      <c r="Z41" s="217"/>
      <c r="AD41" s="1"/>
      <c r="AE41" s="1"/>
    </row>
    <row r="42" spans="2:31">
      <c r="B42" s="116">
        <v>43761</v>
      </c>
      <c r="C42" s="14" t="str">
        <f t="shared" si="0"/>
        <v/>
      </c>
      <c r="D42" s="250">
        <f>-1882+1070</f>
        <v>-812</v>
      </c>
      <c r="E42" s="250">
        <v>104</v>
      </c>
      <c r="F42" s="251">
        <v>-450268</v>
      </c>
      <c r="G42" s="252">
        <f>D42+E42+F42-E41-F41</f>
        <v>964</v>
      </c>
      <c r="H42" s="253">
        <v>-2000</v>
      </c>
      <c r="I42" s="254">
        <v>-2600</v>
      </c>
      <c r="J42" s="254">
        <v>200</v>
      </c>
      <c r="K42" s="255">
        <f t="shared" si="8"/>
        <v>-4400</v>
      </c>
      <c r="L42" s="171">
        <v>35</v>
      </c>
      <c r="M42" s="153"/>
      <c r="N42" s="149">
        <f t="shared" si="6"/>
        <v>-3401</v>
      </c>
      <c r="O42" s="67">
        <f t="shared" si="2"/>
        <v>1219513.5625000009</v>
      </c>
      <c r="P42" s="7">
        <f t="shared" si="4"/>
        <v>43902488.25000003</v>
      </c>
      <c r="Q42" s="164">
        <f>Q41+N42+3</f>
        <v>1369821.35</v>
      </c>
      <c r="R42" s="29">
        <f t="shared" si="3"/>
        <v>1041.8027374294693</v>
      </c>
      <c r="S42" s="5">
        <f>SUM($Q$7:$Q42)/T42</f>
        <v>1387837.5166666675</v>
      </c>
      <c r="T42" s="18">
        <v>36</v>
      </c>
      <c r="U42" s="138"/>
      <c r="V42" s="131"/>
      <c r="W42" s="105">
        <v>-1155158</v>
      </c>
      <c r="X42" s="167"/>
      <c r="Y42" s="156">
        <f>Y41-K42-L42-2</f>
        <v>-1155158</v>
      </c>
      <c r="Z42" s="217"/>
      <c r="AD42" s="1"/>
      <c r="AE42" s="1"/>
    </row>
    <row r="43" spans="2:31">
      <c r="B43" s="116">
        <v>43762</v>
      </c>
      <c r="C43" s="14" t="str">
        <f t="shared" si="0"/>
        <v/>
      </c>
      <c r="D43" s="250"/>
      <c r="E43" s="250">
        <v>7</v>
      </c>
      <c r="F43" s="251">
        <v>-446891</v>
      </c>
      <c r="G43" s="252">
        <f>D43+E43+F43-E42-F42</f>
        <v>3280</v>
      </c>
      <c r="H43" s="253">
        <v>500</v>
      </c>
      <c r="I43" s="254">
        <v>7600</v>
      </c>
      <c r="J43" s="254">
        <v>200</v>
      </c>
      <c r="K43" s="255">
        <f t="shared" si="8"/>
        <v>8300</v>
      </c>
      <c r="L43" s="171">
        <v>-28</v>
      </c>
      <c r="M43" s="153"/>
      <c r="N43" s="149">
        <f t="shared" si="6"/>
        <v>11552</v>
      </c>
      <c r="O43" s="67">
        <f t="shared" si="2"/>
        <v>1220287.6648648656</v>
      </c>
      <c r="P43" s="7">
        <f t="shared" si="4"/>
        <v>45150643.600000031</v>
      </c>
      <c r="Q43" s="164">
        <f>Q42+N43-3</f>
        <v>1381370.35</v>
      </c>
      <c r="R43" s="29">
        <f t="shared" si="3"/>
        <v>1041.6715297664523</v>
      </c>
      <c r="S43" s="5">
        <f>SUM($Q$7:$Q43)/T43</f>
        <v>1387662.7283783793</v>
      </c>
      <c r="T43" s="18">
        <v>37</v>
      </c>
      <c r="U43" s="138"/>
      <c r="V43" s="131"/>
      <c r="W43" s="105">
        <v>-1163429</v>
      </c>
      <c r="X43" s="167"/>
      <c r="Y43" s="156">
        <f>Y42-K43-L43+1</f>
        <v>-1163429</v>
      </c>
      <c r="Z43" s="217"/>
      <c r="AD43" s="1"/>
      <c r="AE43" s="1"/>
    </row>
    <row r="44" spans="2:31">
      <c r="B44" s="116">
        <v>43763</v>
      </c>
      <c r="C44" s="14" t="str">
        <f t="shared" si="0"/>
        <v/>
      </c>
      <c r="D44" s="250"/>
      <c r="E44" s="250">
        <v>46</v>
      </c>
      <c r="F44" s="251">
        <v>-455469</v>
      </c>
      <c r="G44" s="252">
        <f>D44+E44+F44-E43-F43</f>
        <v>-8539</v>
      </c>
      <c r="H44" s="253">
        <v>500</v>
      </c>
      <c r="I44" s="254">
        <v>20100</v>
      </c>
      <c r="J44" s="254">
        <v>200</v>
      </c>
      <c r="K44" s="255">
        <f t="shared" si="8"/>
        <v>20800</v>
      </c>
      <c r="L44" s="171">
        <v>6</v>
      </c>
      <c r="M44" s="153"/>
      <c r="N44" s="149">
        <f t="shared" si="6"/>
        <v>12267</v>
      </c>
      <c r="O44" s="67">
        <f t="shared" si="2"/>
        <v>1221343.8407894745</v>
      </c>
      <c r="P44" s="7">
        <f t="shared" si="4"/>
        <v>46411065.950000033</v>
      </c>
      <c r="Q44" s="164">
        <f t="shared" ref="Q44:Q48" si="12">Q43+N44</f>
        <v>1393637.35</v>
      </c>
      <c r="R44" s="29">
        <f t="shared" si="3"/>
        <v>1041.7895546771451</v>
      </c>
      <c r="S44" s="5">
        <f>SUM($Q$7:$Q44)/T44</f>
        <v>1387819.9552631588</v>
      </c>
      <c r="T44" s="18">
        <v>38</v>
      </c>
      <c r="U44" s="138"/>
      <c r="V44" s="131"/>
      <c r="W44" s="105">
        <v>-1184234</v>
      </c>
      <c r="X44" s="167"/>
      <c r="Y44" s="156">
        <f>Y43-K44-L44+1</f>
        <v>-1184234</v>
      </c>
      <c r="Z44" s="217"/>
      <c r="AD44" s="1"/>
      <c r="AE44" s="1"/>
    </row>
    <row r="45" spans="2:31">
      <c r="B45" s="116">
        <v>43764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1222345.8538461546</v>
      </c>
      <c r="P45" s="7">
        <f t="shared" si="4"/>
        <v>47671488.300000034</v>
      </c>
      <c r="Q45" s="164">
        <f t="shared" si="12"/>
        <v>1393637.35</v>
      </c>
      <c r="R45" s="29">
        <f t="shared" si="3"/>
        <v>1041.9015270283153</v>
      </c>
      <c r="S45" s="5">
        <f>SUM($Q$7:$Q45)/T45</f>
        <v>1387969.11923077</v>
      </c>
      <c r="T45" s="18">
        <v>39</v>
      </c>
      <c r="U45" s="138"/>
      <c r="V45" s="131"/>
      <c r="W45" s="105">
        <v>-1184234</v>
      </c>
      <c r="X45" s="167"/>
      <c r="Y45" s="156">
        <f>Y44-K45-L45</f>
        <v>-1184234</v>
      </c>
      <c r="Z45" s="217"/>
      <c r="AD45" s="1"/>
      <c r="AE45" s="1"/>
    </row>
    <row r="46" spans="2:31">
      <c r="B46" s="116">
        <v>43765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1223297.7662500008</v>
      </c>
      <c r="P46" s="7">
        <f t="shared" si="4"/>
        <v>48931910.650000036</v>
      </c>
      <c r="Q46" s="164">
        <f t="shared" si="12"/>
        <v>1393637.35</v>
      </c>
      <c r="R46" s="29">
        <f t="shared" si="3"/>
        <v>1042.0041474308455</v>
      </c>
      <c r="S46" s="5">
        <f>SUM($Q$7:$Q46)/T46-5</f>
        <v>1388105.8250000009</v>
      </c>
      <c r="T46" s="18">
        <v>40</v>
      </c>
      <c r="U46" s="138"/>
      <c r="V46" s="131"/>
      <c r="W46" s="105">
        <v>-1184234</v>
      </c>
      <c r="X46" s="167"/>
      <c r="Y46" s="156">
        <f>Y45-K46-L46</f>
        <v>-1184234</v>
      </c>
      <c r="Z46" s="217"/>
      <c r="AD46" s="1"/>
      <c r="AE46" s="1"/>
    </row>
    <row r="47" spans="2:31">
      <c r="B47" s="116">
        <v>43766</v>
      </c>
      <c r="C47" s="14" t="str">
        <f t="shared" si="0"/>
        <v/>
      </c>
      <c r="D47" s="250"/>
      <c r="E47" s="250">
        <v>94</v>
      </c>
      <c r="F47" s="251">
        <v>-451740</v>
      </c>
      <c r="G47" s="252">
        <f>D47+E47+F47-E44-F44</f>
        <v>3777</v>
      </c>
      <c r="H47" s="253">
        <v>500</v>
      </c>
      <c r="I47" s="254">
        <v>-4500</v>
      </c>
      <c r="J47" s="254">
        <v>-1000</v>
      </c>
      <c r="K47" s="255">
        <f t="shared" si="8"/>
        <v>-5000</v>
      </c>
      <c r="L47" s="171">
        <v>1</v>
      </c>
      <c r="M47" s="153"/>
      <c r="N47" s="149">
        <f t="shared" si="6"/>
        <v>-1222</v>
      </c>
      <c r="O47" s="67">
        <f t="shared" si="2"/>
        <v>1224173.463414635</v>
      </c>
      <c r="P47" s="7">
        <f t="shared" si="4"/>
        <v>50191112.000000037</v>
      </c>
      <c r="Q47" s="164">
        <f>Q46+N47+1</f>
        <v>1392416.35</v>
      </c>
      <c r="R47" s="29">
        <f t="shared" si="3"/>
        <v>1042.0867303268244</v>
      </c>
      <c r="S47" s="5">
        <f>SUM($Q$7:$Q47)/T47</f>
        <v>1388215.8378048791</v>
      </c>
      <c r="T47" s="18">
        <v>41</v>
      </c>
      <c r="U47" s="138"/>
      <c r="V47" s="131"/>
      <c r="W47" s="105">
        <v>-1179235</v>
      </c>
      <c r="X47" s="167"/>
      <c r="Y47" s="156">
        <f>Y46-K47-L47</f>
        <v>-1179235</v>
      </c>
      <c r="Z47" s="217"/>
      <c r="AD47" s="1"/>
      <c r="AE47" s="1"/>
    </row>
    <row r="48" spans="2:31">
      <c r="B48" s="116">
        <v>43767</v>
      </c>
      <c r="C48" s="14" t="str">
        <f t="shared" si="0"/>
        <v/>
      </c>
      <c r="D48" s="250"/>
      <c r="E48" s="250">
        <v>53</v>
      </c>
      <c r="F48" s="251">
        <v>-462532</v>
      </c>
      <c r="G48" s="252">
        <f>D48+E48+F48-E47-F47</f>
        <v>-10833</v>
      </c>
      <c r="H48" s="253">
        <v>500</v>
      </c>
      <c r="I48" s="254">
        <v>18100</v>
      </c>
      <c r="J48" s="254">
        <v>-1000</v>
      </c>
      <c r="K48" s="255">
        <f t="shared" si="8"/>
        <v>17600</v>
      </c>
      <c r="L48" s="171">
        <v>45</v>
      </c>
      <c r="M48" s="153"/>
      <c r="N48" s="149">
        <f t="shared" si="6"/>
        <v>6812</v>
      </c>
      <c r="O48" s="67">
        <f t="shared" si="2"/>
        <v>1225169.6511904772</v>
      </c>
      <c r="P48" s="7">
        <f t="shared" si="4"/>
        <v>51457125.350000039</v>
      </c>
      <c r="Q48" s="164">
        <f t="shared" si="12"/>
        <v>1399228.35</v>
      </c>
      <c r="R48" s="29">
        <f t="shared" si="3"/>
        <v>1042.2835570139935</v>
      </c>
      <c r="S48" s="5">
        <f>SUM($Q$7:$Q48)/T48</f>
        <v>1388478.0404761913</v>
      </c>
      <c r="T48" s="18">
        <v>42</v>
      </c>
      <c r="U48" s="138"/>
      <c r="V48" s="131"/>
      <c r="W48" s="105">
        <v>-1196881</v>
      </c>
      <c r="X48" s="167"/>
      <c r="Y48" s="156">
        <f>Y47-K48-L48-1</f>
        <v>-1196881</v>
      </c>
      <c r="Z48" s="217"/>
      <c r="AD48" s="1"/>
      <c r="AE48" s="1"/>
    </row>
    <row r="49" spans="2:31"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2"/>
      <c r="N49" s="181"/>
      <c r="O49" s="181"/>
      <c r="P49" s="182"/>
      <c r="Q49" s="183"/>
      <c r="R49" s="184"/>
      <c r="S49" s="6"/>
      <c r="T49" s="182"/>
      <c r="U49" s="185"/>
      <c r="V49" s="243"/>
      <c r="W49" s="187"/>
      <c r="X49" s="188"/>
      <c r="Y49" s="181"/>
      <c r="Z49" s="188"/>
      <c r="AD49" s="1"/>
      <c r="AE49" s="1"/>
    </row>
    <row r="50" spans="2:31" ht="12.75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2"/>
      <c r="N50" s="181"/>
      <c r="O50" s="181"/>
      <c r="P50" s="182"/>
      <c r="Q50" s="183"/>
      <c r="R50" s="184"/>
      <c r="S50" s="6"/>
      <c r="T50" s="182"/>
      <c r="U50" s="185"/>
      <c r="V50" s="243"/>
      <c r="W50" s="187"/>
      <c r="X50" s="188"/>
      <c r="Y50" s="181"/>
      <c r="Z50" s="188"/>
      <c r="AD50" s="1"/>
      <c r="AE50" s="1"/>
    </row>
    <row r="51" spans="2:31" ht="13.5" thickTop="1" thickBot="1">
      <c r="B51" s="193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2"/>
      <c r="N51" s="4"/>
    </row>
    <row r="52" spans="2:31" ht="12.75" thickTop="1">
      <c r="D52" s="27" t="s">
        <v>59</v>
      </c>
      <c r="E52" s="139"/>
      <c r="F52" s="142"/>
      <c r="G52" s="90">
        <f>'Sept 2019 '!Q55</f>
        <v>1301189.3500000001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'Sept 2019 '!E55</f>
        <v>58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'Sept 2019 '!F55</f>
        <v>-569466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'Sept 2019 '!Y55</f>
        <v>-1175974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45</vt:i4>
      </vt:variant>
    </vt:vector>
  </HeadingPairs>
  <TitlesOfParts>
    <vt:vector size="91" baseType="lpstr">
      <vt:lpstr>Oct 2018</vt:lpstr>
      <vt:lpstr>Nov 2018</vt:lpstr>
      <vt:lpstr>Jan 2019</vt:lpstr>
      <vt:lpstr>Feb 2019</vt:lpstr>
      <vt:lpstr>March 2019</vt:lpstr>
      <vt:lpstr>May 2019</vt:lpstr>
      <vt:lpstr>July 2019</vt:lpstr>
      <vt:lpstr>Sept 2019 </vt:lpstr>
      <vt:lpstr>Oct 2019</vt:lpstr>
      <vt:lpstr>Dec 2019</vt:lpstr>
      <vt:lpstr>Jan 2020</vt:lpstr>
      <vt:lpstr>Feb 2020</vt:lpstr>
      <vt:lpstr>Apr 2020 </vt:lpstr>
      <vt:lpstr>May 2020 </vt:lpstr>
      <vt:lpstr>July 2020</vt:lpstr>
      <vt:lpstr>Aug 2020 </vt:lpstr>
      <vt:lpstr>Oct 2020</vt:lpstr>
      <vt:lpstr>Nov 2020</vt:lpstr>
      <vt:lpstr>Jan 2021</vt:lpstr>
      <vt:lpstr>Feb 2021</vt:lpstr>
      <vt:lpstr>Apr 2021 </vt:lpstr>
      <vt:lpstr>May 2021</vt:lpstr>
      <vt:lpstr>July 2021</vt:lpstr>
      <vt:lpstr>Aug 2021</vt:lpstr>
      <vt:lpstr>OCT 2021</vt:lpstr>
      <vt:lpstr>NOV 2021 </vt:lpstr>
      <vt:lpstr>JAN 2022</vt:lpstr>
      <vt:lpstr>MAR 2022 </vt:lpstr>
      <vt:lpstr>APR 2022 </vt:lpstr>
      <vt:lpstr>MAY 2022</vt:lpstr>
      <vt:lpstr>JULY 2022</vt:lpstr>
      <vt:lpstr>AUG 2022 </vt:lpstr>
      <vt:lpstr>OCT 2022</vt:lpstr>
      <vt:lpstr>DEC 2022</vt:lpstr>
      <vt:lpstr>JAN 2023</vt:lpstr>
      <vt:lpstr>MARCH 2023</vt:lpstr>
      <vt:lpstr>APRIL 2023</vt:lpstr>
      <vt:lpstr>MAY 2023</vt:lpstr>
      <vt:lpstr>JULY 2023 </vt:lpstr>
      <vt:lpstr>SEPT 2023 </vt:lpstr>
      <vt:lpstr>OCT 2023</vt:lpstr>
      <vt:lpstr>DEC 2023</vt:lpstr>
      <vt:lpstr>JAN 2024 </vt:lpstr>
      <vt:lpstr>FEB 2024</vt:lpstr>
      <vt:lpstr>Standing Facilities</vt:lpstr>
      <vt:lpstr>Exceed Reserves</vt:lpstr>
      <vt:lpstr>'Apr 2020 '!Print_Area</vt:lpstr>
      <vt:lpstr>'Apr 2021 '!Print_Area</vt:lpstr>
      <vt:lpstr>'APR 2022 '!Print_Area</vt:lpstr>
      <vt:lpstr>'APRIL 2023'!Print_Area</vt:lpstr>
      <vt:lpstr>'Aug 2020 '!Print_Area</vt:lpstr>
      <vt:lpstr>'Aug 2021'!Print_Area</vt:lpstr>
      <vt:lpstr>'AUG 2022 '!Print_Area</vt:lpstr>
      <vt:lpstr>'Dec 2019'!Print_Area</vt:lpstr>
      <vt:lpstr>'DEC 2022'!Print_Area</vt:lpstr>
      <vt:lpstr>'DEC 2023'!Print_Area</vt:lpstr>
      <vt:lpstr>'Feb 2019'!Print_Area</vt:lpstr>
      <vt:lpstr>'Feb 2020'!Print_Area</vt:lpstr>
      <vt:lpstr>'Feb 2021'!Print_Area</vt:lpstr>
      <vt:lpstr>'FEB 2024'!Print_Area</vt:lpstr>
      <vt:lpstr>'Jan 2019'!Print_Area</vt:lpstr>
      <vt:lpstr>'Jan 2020'!Print_Area</vt:lpstr>
      <vt:lpstr>'Jan 2021'!Print_Area</vt:lpstr>
      <vt:lpstr>'JAN 2022'!Print_Area</vt:lpstr>
      <vt:lpstr>'JAN 2023'!Print_Area</vt:lpstr>
      <vt:lpstr>'JAN 2024 '!Print_Area</vt:lpstr>
      <vt:lpstr>'July 2019'!Print_Area</vt:lpstr>
      <vt:lpstr>'July 2020'!Print_Area</vt:lpstr>
      <vt:lpstr>'July 2021'!Print_Area</vt:lpstr>
      <vt:lpstr>'JULY 2022'!Print_Area</vt:lpstr>
      <vt:lpstr>'JULY 2023 '!Print_Area</vt:lpstr>
      <vt:lpstr>'MAR 2022 '!Print_Area</vt:lpstr>
      <vt:lpstr>'March 2019'!Print_Area</vt:lpstr>
      <vt:lpstr>'MARCH 2023'!Print_Area</vt:lpstr>
      <vt:lpstr>'May 2019'!Print_Area</vt:lpstr>
      <vt:lpstr>'May 2020 '!Print_Area</vt:lpstr>
      <vt:lpstr>'May 2021'!Print_Area</vt:lpstr>
      <vt:lpstr>'MAY 2022'!Print_Area</vt:lpstr>
      <vt:lpstr>'MAY 2023'!Print_Area</vt:lpstr>
      <vt:lpstr>'Nov 2018'!Print_Area</vt:lpstr>
      <vt:lpstr>'Nov 2020'!Print_Area</vt:lpstr>
      <vt:lpstr>'NOV 2021 '!Print_Area</vt:lpstr>
      <vt:lpstr>'Oct 2018'!Print_Area</vt:lpstr>
      <vt:lpstr>'Oct 2019'!Print_Area</vt:lpstr>
      <vt:lpstr>'Oct 2020'!Print_Area</vt:lpstr>
      <vt:lpstr>'OCT 2021'!Print_Area</vt:lpstr>
      <vt:lpstr>'OCT 2022'!Print_Area</vt:lpstr>
      <vt:lpstr>'OCT 2023'!Print_Area</vt:lpstr>
      <vt:lpstr>'Sept 2019 '!Print_Area</vt:lpstr>
      <vt:lpstr>'SEPT 2023 '!Print_Area</vt:lpstr>
      <vt:lpstr>'Standing Facilities'!Print_Area</vt:lpstr>
    </vt:vector>
  </TitlesOfParts>
  <Company>San Paolo 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u014677</dc:creator>
  <cp:lastModifiedBy>Innella Fulvio</cp:lastModifiedBy>
  <cp:lastPrinted>2017-01-06T11:08:09Z</cp:lastPrinted>
  <dcterms:created xsi:type="dcterms:W3CDTF">2002-01-28T11:30:35Z</dcterms:created>
  <dcterms:modified xsi:type="dcterms:W3CDTF">2024-02-09T10:32:52Z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2024-01-08T12:48:12Z</vt:lpwstr>
  </property>
  <property fmtid="{D5CDD505-2E9C-101B-9397-08002B2CF9AE}" pid="4" name="MSIP_Label_5f5fe31f-9de1-4167-a753-111c0df8115f_Method">
    <vt:lpwstr>Privileged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4151d93e-7583-416c-ab03-d50fb7cdec50</vt:lpwstr>
  </property>
  <property fmtid="{D5CDD505-2E9C-101B-9397-08002B2CF9AE}" pid="8" name="MSIP_Label_5f5fe31f-9de1-4167-a753-111c0df8115f_ContentBits">
    <vt:lpwstr>0</vt:lpwstr>
  </property>
</Properties>
</file>